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8_{E100BFF7-365E-4AFA-A865-15631704E98E}" xr6:coauthVersionLast="47" xr6:coauthVersionMax="47" xr10:uidLastSave="{00000000-0000-0000-0000-000000000000}"/>
  <bookViews>
    <workbookView xWindow="1170" yWindow="1170" windowWidth="21600" windowHeight="11385" xr2:uid="{00000000-000D-0000-FFFF-FFFF00000000}"/>
  </bookViews>
  <sheets>
    <sheet name="RO č.3_2021 + návrh 2022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5" l="1"/>
  <c r="G52" i="5" l="1"/>
  <c r="E52" i="5"/>
  <c r="D48" i="5"/>
  <c r="G38" i="5"/>
  <c r="F38" i="5" s="1"/>
  <c r="G35" i="5" l="1"/>
  <c r="G36" i="5"/>
  <c r="G39" i="5" l="1"/>
  <c r="H39" i="5"/>
  <c r="H40" i="5"/>
  <c r="H17" i="5"/>
  <c r="G9" i="5" l="1"/>
  <c r="G12" i="5"/>
  <c r="F12" i="5" s="1"/>
  <c r="B13" i="5"/>
  <c r="C16" i="5"/>
  <c r="F16" i="5" s="1"/>
  <c r="G16" i="5"/>
  <c r="H16" i="5"/>
  <c r="F23" i="5" l="1"/>
  <c r="F47" i="5" s="1"/>
  <c r="H42" i="5" l="1"/>
  <c r="H48" i="5" s="1"/>
  <c r="D23" i="5"/>
  <c r="D44" i="5" l="1"/>
  <c r="D47" i="5"/>
  <c r="E42" i="5"/>
  <c r="E48" i="5" s="1"/>
  <c r="E23" i="5"/>
  <c r="E44" i="5" l="1"/>
  <c r="E47" i="5"/>
  <c r="E50" i="5" s="1"/>
  <c r="E53" i="5" s="1"/>
  <c r="G37" i="5"/>
  <c r="G27" i="5"/>
  <c r="B36" i="5" l="1"/>
  <c r="C40" i="5"/>
  <c r="G40" i="5" s="1"/>
  <c r="F40" i="5" s="1"/>
  <c r="G32" i="5"/>
  <c r="C39" i="5"/>
  <c r="F39" i="5" s="1"/>
  <c r="F42" i="5" s="1"/>
  <c r="F44" i="5" l="1"/>
  <c r="F48" i="5"/>
  <c r="C17" i="5"/>
  <c r="H23" i="5" s="1"/>
  <c r="H44" i="5" l="1"/>
  <c r="H47" i="5"/>
  <c r="H50" i="5"/>
  <c r="C7" i="5"/>
  <c r="B32" i="5"/>
  <c r="B37" i="5"/>
  <c r="C37" i="5" s="1"/>
  <c r="C32" i="5" l="1"/>
  <c r="G41" i="5"/>
  <c r="B29" i="5" l="1"/>
  <c r="B34" i="5"/>
  <c r="G29" i="5" l="1"/>
  <c r="G30" i="5"/>
  <c r="G31" i="5"/>
  <c r="G34" i="5"/>
  <c r="G26" i="5"/>
  <c r="G8" i="5"/>
  <c r="G10" i="5"/>
  <c r="G20" i="5"/>
  <c r="G21" i="5"/>
  <c r="G22" i="5"/>
  <c r="B33" i="5" l="1"/>
  <c r="B15" i="5"/>
  <c r="G15" i="5" s="1"/>
  <c r="B14" i="5"/>
  <c r="G14" i="5" s="1"/>
  <c r="B11" i="5"/>
  <c r="G33" i="5" l="1"/>
  <c r="B42" i="5"/>
  <c r="B48" i="5" s="1"/>
  <c r="G28" i="5"/>
  <c r="C42" i="5"/>
  <c r="B23" i="5"/>
  <c r="B47" i="5" s="1"/>
  <c r="G42" i="5" l="1"/>
  <c r="G48" i="5" s="1"/>
  <c r="B44" i="5"/>
  <c r="B50" i="5"/>
  <c r="C48" i="5" l="1"/>
  <c r="C23" i="5" l="1"/>
  <c r="C44" i="5" s="1"/>
  <c r="C47" i="5" l="1"/>
  <c r="B53" i="5" l="1"/>
  <c r="G23" i="5"/>
  <c r="G44" i="5" l="1"/>
  <c r="G47" i="5"/>
  <c r="G50" i="5"/>
  <c r="G53" i="5" s="1"/>
  <c r="H52" i="5" s="1"/>
  <c r="H53" i="5" s="1"/>
</calcChain>
</file>

<file path=xl/sharedStrings.xml><?xml version="1.0" encoding="utf-8"?>
<sst xmlns="http://schemas.openxmlformats.org/spreadsheetml/2006/main" count="89" uniqueCount="65">
  <si>
    <t>Příjmy</t>
  </si>
  <si>
    <t>Poznámka</t>
  </si>
  <si>
    <t>Členské příspěvky</t>
  </si>
  <si>
    <t>Příjmy z úroků</t>
  </si>
  <si>
    <t xml:space="preserve">Příjmy celkem </t>
  </si>
  <si>
    <t>Výdaje</t>
  </si>
  <si>
    <t>Bankovní poplatky</t>
  </si>
  <si>
    <t>Profesionalizace svazku</t>
  </si>
  <si>
    <t>Zákonné pojištění z mezd</t>
  </si>
  <si>
    <t>Výdaje celkem</t>
  </si>
  <si>
    <t xml:space="preserve">Výsledek </t>
  </si>
  <si>
    <t>Příjmy celkem</t>
  </si>
  <si>
    <t>Rozdíl příjmů a výdajů</t>
  </si>
  <si>
    <t>Hospodářská činnost</t>
  </si>
  <si>
    <t>Financování</t>
  </si>
  <si>
    <t>dotace KHK</t>
  </si>
  <si>
    <t>Rekapitulace</t>
  </si>
  <si>
    <t>PS - dotace OPZ</t>
  </si>
  <si>
    <t>PS - spoluúčast od obcí 5%</t>
  </si>
  <si>
    <t>MAP II</t>
  </si>
  <si>
    <t>Svazek obcí Horní Labe, Hostinné</t>
  </si>
  <si>
    <t>MAP II - spoluúčast 5%</t>
  </si>
  <si>
    <t>Právní služby ( vč. pověřenec GDPR)</t>
  </si>
  <si>
    <t>1 100 za OÚ + 250 za PO / měsíc / obec</t>
  </si>
  <si>
    <t>MAP II - 2x ŽOP (95%)</t>
  </si>
  <si>
    <t>SMO dotace 95% na 1 úvazek (4 měsíce)</t>
  </si>
  <si>
    <t>Lyžařské trasy 2020/2021</t>
  </si>
  <si>
    <t>Zvýšení atraktvivity LBT pod Černou h. (LK) 2020</t>
  </si>
  <si>
    <t>Oprava auta (příjem z pojistky)</t>
  </si>
  <si>
    <t>SOHL mzdy</t>
  </si>
  <si>
    <t>PS (přemýšlíme strategicky) paušál</t>
  </si>
  <si>
    <t>PS (přemýšlíme strategicky) služby</t>
  </si>
  <si>
    <t>zpracované dokumenty</t>
  </si>
  <si>
    <t>MAP II paušál</t>
  </si>
  <si>
    <t>schválený 2021</t>
  </si>
  <si>
    <t>Předpoklad do konce 2021</t>
  </si>
  <si>
    <t>Mimořádné členské přípěvky</t>
  </si>
  <si>
    <t>OLEK (SMO ČR)</t>
  </si>
  <si>
    <t>OLEK mzda</t>
  </si>
  <si>
    <t xml:space="preserve">Pronájem prostor,vybavení, služby </t>
  </si>
  <si>
    <t>PC programy poplatky, web, audit, atd.</t>
  </si>
  <si>
    <t>Propagace svazku - paušál</t>
  </si>
  <si>
    <t>CSS spoluúčast</t>
  </si>
  <si>
    <t>PS (přemýšlíme strategicky) mzdy PP</t>
  </si>
  <si>
    <t>MAP II mzdy PP</t>
  </si>
  <si>
    <t>CSS mzdy (2. prodloužení projektu)</t>
  </si>
  <si>
    <t>MAP II - spoluúčast 5% (za 2 roky - zálohově)</t>
  </si>
  <si>
    <t xml:space="preserve">od TJ a obcí  </t>
  </si>
  <si>
    <t>OLEK spoluúčast 23,95%</t>
  </si>
  <si>
    <t>RO č.1</t>
  </si>
  <si>
    <t xml:space="preserve"> RO č.1</t>
  </si>
  <si>
    <t>RO č. 2</t>
  </si>
  <si>
    <t>Návrh 2022</t>
  </si>
  <si>
    <t>Plnění 30.10.2021</t>
  </si>
  <si>
    <t>viz mimořádné členské</t>
  </si>
  <si>
    <t>x</t>
  </si>
  <si>
    <t>RO č. 3</t>
  </si>
  <si>
    <t>Lyžařské trasy 2020/2021/2022</t>
  </si>
  <si>
    <t>Příspěvek financování projektu lyž.běž.tratí 2022</t>
  </si>
  <si>
    <t>Předpokl. zůstatek na konci roku (2021/2022)</t>
  </si>
  <si>
    <t>Přebytek z předcházejících let (2020)</t>
  </si>
  <si>
    <t>NÁVRH ROZPOČTOVÉ OPATŘENÍ č. 3/2021 a ROZPOČTU NA ROK 2022</t>
  </si>
  <si>
    <t>J.H. + E.S+E.S.+L.K.+L.K.+ J.S.+E.I.</t>
  </si>
  <si>
    <t>zůstatky na účtech k 31.10.20210</t>
  </si>
  <si>
    <t>Rozpočtové opatření č.3/2021 bude schvalováno výkonnou radou Svazku obcí Horní Labe dne 7.12.2021 usnesením č. xx/86/21.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</si>
</sst>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i/>
      <sz val="11"/>
      <color theme="0" tint="-0.499984740745262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Fill="1"/>
    <xf numFmtId="0" fontId="0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3" fontId="7" fillId="0" borderId="0" xfId="0" applyNumberFormat="1" applyFont="1" applyFill="1" applyBorder="1"/>
    <xf numFmtId="3" fontId="0" fillId="0" borderId="0" xfId="0" applyNumberFormat="1"/>
    <xf numFmtId="164" fontId="12" fillId="0" borderId="8" xfId="0" applyNumberFormat="1" applyFont="1" applyFill="1" applyBorder="1" applyAlignment="1">
      <alignment horizontal="right"/>
    </xf>
    <xf numFmtId="164" fontId="12" fillId="0" borderId="7" xfId="0" applyNumberFormat="1" applyFont="1" applyFill="1" applyBorder="1" applyAlignment="1">
      <alignment horizontal="right"/>
    </xf>
    <xf numFmtId="0" fontId="14" fillId="5" borderId="4" xfId="0" applyFont="1" applyFill="1" applyBorder="1"/>
    <xf numFmtId="0" fontId="3" fillId="0" borderId="0" xfId="0" applyFont="1" applyAlignment="1">
      <alignment horizontal="left" vertical="center"/>
    </xf>
    <xf numFmtId="164" fontId="12" fillId="0" borderId="3" xfId="0" applyNumberFormat="1" applyFont="1" applyBorder="1" applyAlignment="1">
      <alignment horizontal="right"/>
    </xf>
    <xf numFmtId="0" fontId="0" fillId="0" borderId="0" xfId="0" applyBorder="1"/>
    <xf numFmtId="0" fontId="20" fillId="0" borderId="0" xfId="0" applyFont="1"/>
    <xf numFmtId="0" fontId="22" fillId="2" borderId="9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0" fillId="0" borderId="0" xfId="0" applyFill="1" applyBorder="1"/>
    <xf numFmtId="3" fontId="13" fillId="0" borderId="0" xfId="0" applyNumberFormat="1" applyFont="1" applyFill="1"/>
    <xf numFmtId="0" fontId="13" fillId="0" borderId="0" xfId="0" applyFont="1" applyFill="1"/>
    <xf numFmtId="0" fontId="23" fillId="0" borderId="0" xfId="0" applyFont="1" applyFill="1"/>
    <xf numFmtId="0" fontId="12" fillId="0" borderId="0" xfId="0" applyFont="1" applyFill="1"/>
    <xf numFmtId="0" fontId="16" fillId="0" borderId="0" xfId="0" applyFont="1" applyFill="1"/>
    <xf numFmtId="3" fontId="7" fillId="0" borderId="0" xfId="0" applyNumberFormat="1" applyFont="1" applyFill="1"/>
    <xf numFmtId="0" fontId="24" fillId="0" borderId="0" xfId="0" applyFont="1" applyFill="1" applyBorder="1"/>
    <xf numFmtId="0" fontId="7" fillId="0" borderId="0" xfId="0" applyFont="1" applyFill="1" applyBorder="1"/>
    <xf numFmtId="0" fontId="4" fillId="5" borderId="15" xfId="0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horizontal="right"/>
    </xf>
    <xf numFmtId="3" fontId="11" fillId="0" borderId="6" xfId="0" applyNumberFormat="1" applyFont="1" applyFill="1" applyBorder="1" applyAlignment="1">
      <alignment horizontal="right"/>
    </xf>
    <xf numFmtId="3" fontId="11" fillId="0" borderId="11" xfId="0" applyNumberFormat="1" applyFont="1" applyFill="1" applyBorder="1"/>
    <xf numFmtId="0" fontId="3" fillId="0" borderId="0" xfId="0" applyFont="1" applyAlignment="1">
      <alignment horizontal="left" vertical="center"/>
    </xf>
    <xf numFmtId="0" fontId="11" fillId="0" borderId="12" xfId="0" applyFont="1" applyFill="1" applyBorder="1" applyAlignment="1"/>
    <xf numFmtId="0" fontId="11" fillId="0" borderId="11" xfId="0" applyFont="1" applyFill="1" applyBorder="1" applyAlignment="1"/>
    <xf numFmtId="0" fontId="18" fillId="0" borderId="12" xfId="0" applyFont="1" applyFill="1" applyBorder="1" applyAlignment="1"/>
    <xf numFmtId="0" fontId="11" fillId="0" borderId="13" xfId="0" applyFont="1" applyFill="1" applyBorder="1" applyAlignment="1"/>
    <xf numFmtId="0" fontId="0" fillId="0" borderId="0" xfId="0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1" fillId="0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vertical="center" wrapText="1"/>
    </xf>
    <xf numFmtId="0" fontId="19" fillId="0" borderId="11" xfId="0" applyFont="1" applyFill="1" applyBorder="1" applyAlignment="1"/>
    <xf numFmtId="0" fontId="17" fillId="0" borderId="12" xfId="0" applyFont="1" applyFill="1" applyBorder="1" applyAlignment="1"/>
    <xf numFmtId="164" fontId="4" fillId="0" borderId="0" xfId="0" applyNumberFormat="1" applyFont="1" applyFill="1" applyBorder="1" applyAlignment="1">
      <alignment horizontal="right"/>
    </xf>
    <xf numFmtId="0" fontId="11" fillId="0" borderId="12" xfId="0" applyFont="1" applyFill="1" applyBorder="1"/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3" fontId="11" fillId="0" borderId="0" xfId="0" applyNumberFormat="1" applyFont="1" applyFill="1" applyBorder="1" applyAlignment="1">
      <alignment horizontal="left"/>
    </xf>
    <xf numFmtId="3" fontId="11" fillId="0" borderId="4" xfId="0" applyNumberFormat="1" applyFont="1" applyFill="1" applyBorder="1"/>
    <xf numFmtId="0" fontId="11" fillId="0" borderId="0" xfId="0" applyFont="1" applyFill="1" applyBorder="1"/>
    <xf numFmtId="3" fontId="0" fillId="0" borderId="0" xfId="0" applyNumberFormat="1" applyBorder="1"/>
    <xf numFmtId="3" fontId="11" fillId="0" borderId="0" xfId="0" applyNumberFormat="1" applyFont="1" applyFill="1" applyBorder="1"/>
    <xf numFmtId="3" fontId="0" fillId="0" borderId="0" xfId="0" applyNumberFormat="1" applyFill="1" applyBorder="1"/>
    <xf numFmtId="164" fontId="10" fillId="0" borderId="3" xfId="0" applyNumberFormat="1" applyFont="1" applyBorder="1" applyAlignment="1">
      <alignment horizontal="right"/>
    </xf>
    <xf numFmtId="0" fontId="11" fillId="0" borderId="12" xfId="0" applyFont="1" applyFill="1" applyBorder="1" applyAlignment="1">
      <alignment wrapText="1"/>
    </xf>
    <xf numFmtId="3" fontId="11" fillId="0" borderId="12" xfId="0" applyNumberFormat="1" applyFont="1" applyFill="1" applyBorder="1" applyAlignment="1">
      <alignment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wrapText="1"/>
    </xf>
    <xf numFmtId="0" fontId="11" fillId="0" borderId="5" xfId="0" applyFont="1" applyBorder="1" applyAlignment="1">
      <alignment wrapText="1"/>
    </xf>
    <xf numFmtId="3" fontId="15" fillId="0" borderId="0" xfId="0" applyNumberFormat="1" applyFont="1"/>
    <xf numFmtId="3" fontId="26" fillId="7" borderId="20" xfId="0" applyNumberFormat="1" applyFont="1" applyFill="1" applyBorder="1"/>
    <xf numFmtId="3" fontId="11" fillId="0" borderId="20" xfId="0" applyNumberFormat="1" applyFont="1" applyFill="1" applyBorder="1" applyAlignment="1">
      <alignment horizontal="right"/>
    </xf>
    <xf numFmtId="3" fontId="11" fillId="0" borderId="20" xfId="0" applyNumberFormat="1" applyFont="1" applyFill="1" applyBorder="1"/>
    <xf numFmtId="0" fontId="30" fillId="0" borderId="10" xfId="0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right"/>
    </xf>
    <xf numFmtId="3" fontId="9" fillId="0" borderId="6" xfId="0" applyNumberFormat="1" applyFont="1" applyFill="1" applyBorder="1" applyAlignment="1">
      <alignment horizontal="right"/>
    </xf>
    <xf numFmtId="0" fontId="25" fillId="8" borderId="10" xfId="0" applyFont="1" applyFill="1" applyBorder="1" applyAlignment="1">
      <alignment horizontal="center" vertical="center" wrapText="1"/>
    </xf>
    <xf numFmtId="3" fontId="12" fillId="8" borderId="6" xfId="0" applyNumberFormat="1" applyFont="1" applyFill="1" applyBorder="1" applyAlignment="1">
      <alignment horizontal="right"/>
    </xf>
    <xf numFmtId="3" fontId="18" fillId="0" borderId="6" xfId="0" applyNumberFormat="1" applyFont="1" applyFill="1" applyBorder="1" applyAlignment="1">
      <alignment horizontal="right"/>
    </xf>
    <xf numFmtId="3" fontId="31" fillId="8" borderId="6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/>
    </xf>
    <xf numFmtId="3" fontId="6" fillId="0" borderId="0" xfId="0" applyNumberFormat="1" applyFont="1" applyFill="1"/>
    <xf numFmtId="3" fontId="18" fillId="0" borderId="18" xfId="0" applyNumberFormat="1" applyFont="1" applyFill="1" applyBorder="1" applyAlignment="1">
      <alignment horizontal="right"/>
    </xf>
    <xf numFmtId="3" fontId="12" fillId="8" borderId="6" xfId="0" applyNumberFormat="1" applyFont="1" applyFill="1" applyBorder="1"/>
    <xf numFmtId="3" fontId="12" fillId="8" borderId="12" xfId="0" applyNumberFormat="1" applyFont="1" applyFill="1" applyBorder="1"/>
    <xf numFmtId="3" fontId="11" fillId="0" borderId="19" xfId="0" applyNumberFormat="1" applyFont="1" applyFill="1" applyBorder="1"/>
    <xf numFmtId="3" fontId="11" fillId="0" borderId="14" xfId="0" applyNumberFormat="1" applyFont="1" applyFill="1" applyBorder="1"/>
    <xf numFmtId="3" fontId="11" fillId="0" borderId="21" xfId="0" applyNumberFormat="1" applyFont="1" applyFill="1" applyBorder="1"/>
    <xf numFmtId="3" fontId="11" fillId="0" borderId="12" xfId="0" applyNumberFormat="1" applyFont="1" applyFill="1" applyBorder="1"/>
    <xf numFmtId="3" fontId="11" fillId="0" borderId="12" xfId="0" applyNumberFormat="1" applyFont="1" applyFill="1" applyBorder="1" applyAlignment="1">
      <alignment horizontal="right" vertical="center"/>
    </xf>
    <xf numFmtId="3" fontId="11" fillId="0" borderId="5" xfId="0" applyNumberFormat="1" applyFont="1" applyFill="1" applyBorder="1" applyAlignment="1">
      <alignment horizontal="right" vertical="center"/>
    </xf>
    <xf numFmtId="3" fontId="11" fillId="0" borderId="20" xfId="0" applyNumberFormat="1" applyFont="1" applyFill="1" applyBorder="1" applyAlignment="1">
      <alignment horizontal="right" vertical="center"/>
    </xf>
    <xf numFmtId="3" fontId="11" fillId="2" borderId="0" xfId="0" applyNumberFormat="1" applyFont="1" applyFill="1" applyBorder="1"/>
    <xf numFmtId="0" fontId="23" fillId="7" borderId="10" xfId="0" applyFont="1" applyFill="1" applyBorder="1" applyAlignment="1">
      <alignment horizontal="center" vertical="center" wrapText="1"/>
    </xf>
    <xf numFmtId="3" fontId="12" fillId="7" borderId="6" xfId="0" applyNumberFormat="1" applyFont="1" applyFill="1" applyBorder="1" applyAlignment="1">
      <alignment horizontal="right"/>
    </xf>
    <xf numFmtId="3" fontId="31" fillId="7" borderId="6" xfId="0" applyNumberFormat="1" applyFont="1" applyFill="1" applyBorder="1" applyAlignment="1">
      <alignment horizontal="right"/>
    </xf>
    <xf numFmtId="3" fontId="26" fillId="7" borderId="20" xfId="0" applyNumberFormat="1" applyFont="1" applyFill="1" applyBorder="1" applyAlignment="1">
      <alignment horizontal="right"/>
    </xf>
    <xf numFmtId="3" fontId="26" fillId="7" borderId="5" xfId="0" applyNumberFormat="1" applyFont="1" applyFill="1" applyBorder="1" applyAlignment="1">
      <alignment horizontal="right" vertical="center"/>
    </xf>
    <xf numFmtId="3" fontId="12" fillId="7" borderId="14" xfId="0" applyNumberFormat="1" applyFont="1" applyFill="1" applyBorder="1"/>
    <xf numFmtId="3" fontId="18" fillId="0" borderId="12" xfId="0" applyNumberFormat="1" applyFont="1" applyFill="1" applyBorder="1" applyAlignment="1">
      <alignment horizontal="right"/>
    </xf>
    <xf numFmtId="3" fontId="18" fillId="0" borderId="20" xfId="0" applyNumberFormat="1" applyFont="1" applyFill="1" applyBorder="1" applyAlignment="1">
      <alignment horizontal="right"/>
    </xf>
    <xf numFmtId="3" fontId="31" fillId="7" borderId="20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wrapText="1"/>
    </xf>
    <xf numFmtId="3" fontId="18" fillId="0" borderId="12" xfId="0" applyNumberFormat="1" applyFont="1" applyFill="1" applyBorder="1"/>
    <xf numFmtId="3" fontId="18" fillId="0" borderId="20" xfId="0" applyNumberFormat="1" applyFont="1" applyFill="1" applyBorder="1"/>
    <xf numFmtId="3" fontId="31" fillId="7" borderId="20" xfId="0" applyNumberFormat="1" applyFont="1" applyFill="1" applyBorder="1"/>
    <xf numFmtId="3" fontId="11" fillId="0" borderId="0" xfId="0" applyNumberFormat="1" applyFont="1" applyFill="1" applyBorder="1" applyAlignment="1">
      <alignment horizontal="left" vertical="center"/>
    </xf>
    <xf numFmtId="3" fontId="12" fillId="7" borderId="20" xfId="0" applyNumberFormat="1" applyFont="1" applyFill="1" applyBorder="1" applyAlignment="1">
      <alignment horizontal="right" vertical="center"/>
    </xf>
    <xf numFmtId="3" fontId="12" fillId="7" borderId="20" xfId="0" applyNumberFormat="1" applyFont="1" applyFill="1" applyBorder="1"/>
    <xf numFmtId="3" fontId="12" fillId="7" borderId="20" xfId="0" applyNumberFormat="1" applyFont="1" applyFill="1" applyBorder="1" applyAlignment="1">
      <alignment horizontal="right"/>
    </xf>
    <xf numFmtId="0" fontId="12" fillId="6" borderId="0" xfId="0" applyFont="1" applyFill="1" applyAlignment="1">
      <alignment horizontal="right"/>
    </xf>
    <xf numFmtId="164" fontId="10" fillId="8" borderId="3" xfId="0" applyNumberFormat="1" applyFont="1" applyFill="1" applyBorder="1" applyAlignment="1">
      <alignment horizontal="right"/>
    </xf>
    <xf numFmtId="164" fontId="12" fillId="8" borderId="7" xfId="0" applyNumberFormat="1" applyFont="1" applyFill="1" applyBorder="1" applyAlignment="1">
      <alignment horizontal="right"/>
    </xf>
    <xf numFmtId="164" fontId="12" fillId="8" borderId="22" xfId="0" applyNumberFormat="1" applyFont="1" applyFill="1" applyBorder="1" applyAlignment="1">
      <alignment horizontal="right"/>
    </xf>
    <xf numFmtId="164" fontId="12" fillId="0" borderId="22" xfId="0" applyNumberFormat="1" applyFont="1" applyFill="1" applyBorder="1" applyAlignment="1">
      <alignment horizontal="right"/>
    </xf>
    <xf numFmtId="3" fontId="12" fillId="8" borderId="12" xfId="0" applyNumberFormat="1" applyFont="1" applyFill="1" applyBorder="1" applyAlignment="1">
      <alignment horizontal="right" vertical="center"/>
    </xf>
    <xf numFmtId="0" fontId="28" fillId="0" borderId="9" xfId="0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right"/>
    </xf>
    <xf numFmtId="3" fontId="17" fillId="0" borderId="11" xfId="0" applyNumberFormat="1" applyFont="1" applyFill="1" applyBorder="1" applyAlignment="1">
      <alignment horizontal="right"/>
    </xf>
    <xf numFmtId="3" fontId="18" fillId="0" borderId="11" xfId="0" applyNumberFormat="1" applyFont="1" applyFill="1" applyBorder="1" applyAlignment="1">
      <alignment horizontal="right"/>
    </xf>
    <xf numFmtId="3" fontId="17" fillId="0" borderId="12" xfId="0" applyNumberFormat="1" applyFont="1" applyFill="1" applyBorder="1" applyAlignment="1">
      <alignment horizontal="right"/>
    </xf>
    <xf numFmtId="0" fontId="25" fillId="9" borderId="10" xfId="0" applyFont="1" applyFill="1" applyBorder="1" applyAlignment="1">
      <alignment horizontal="center" vertical="center" wrapText="1"/>
    </xf>
    <xf numFmtId="3" fontId="12" fillId="9" borderId="6" xfId="0" applyNumberFormat="1" applyFont="1" applyFill="1" applyBorder="1" applyAlignment="1">
      <alignment horizontal="right"/>
    </xf>
    <xf numFmtId="3" fontId="31" fillId="9" borderId="6" xfId="0" applyNumberFormat="1" applyFont="1" applyFill="1" applyBorder="1" applyAlignment="1">
      <alignment horizontal="right"/>
    </xf>
    <xf numFmtId="164" fontId="4" fillId="6" borderId="14" xfId="0" applyNumberFormat="1" applyFont="1" applyFill="1" applyBorder="1" applyAlignment="1">
      <alignment horizontal="right"/>
    </xf>
    <xf numFmtId="0" fontId="28" fillId="7" borderId="10" xfId="0" applyFont="1" applyFill="1" applyBorder="1" applyAlignment="1">
      <alignment horizontal="center" vertical="center" wrapText="1"/>
    </xf>
    <xf numFmtId="3" fontId="11" fillId="0" borderId="22" xfId="0" applyNumberFormat="1" applyFont="1" applyFill="1" applyBorder="1"/>
    <xf numFmtId="3" fontId="11" fillId="0" borderId="6" xfId="0" applyNumberFormat="1" applyFont="1" applyFill="1" applyBorder="1"/>
    <xf numFmtId="3" fontId="18" fillId="0" borderId="6" xfId="0" applyNumberFormat="1" applyFont="1" applyFill="1" applyBorder="1"/>
    <xf numFmtId="14" fontId="23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4" fillId="4" borderId="1" xfId="0" applyFont="1" applyFill="1" applyBorder="1"/>
    <xf numFmtId="0" fontId="4" fillId="4" borderId="9" xfId="0" applyFont="1" applyFill="1" applyBorder="1" applyAlignment="1"/>
    <xf numFmtId="0" fontId="18" fillId="0" borderId="12" xfId="0" applyFont="1" applyFill="1" applyBorder="1" applyAlignment="1">
      <alignment vertical="center" wrapText="1"/>
    </xf>
    <xf numFmtId="3" fontId="12" fillId="4" borderId="9" xfId="0" applyNumberFormat="1" applyFont="1" applyFill="1" applyBorder="1" applyAlignment="1">
      <alignment horizontal="right"/>
    </xf>
    <xf numFmtId="3" fontId="11" fillId="4" borderId="10" xfId="0" applyNumberFormat="1" applyFont="1" applyFill="1" applyBorder="1" applyAlignment="1">
      <alignment horizontal="right"/>
    </xf>
    <xf numFmtId="3" fontId="12" fillId="4" borderId="10" xfId="0" applyNumberFormat="1" applyFont="1" applyFill="1" applyBorder="1" applyAlignment="1">
      <alignment horizontal="right"/>
    </xf>
    <xf numFmtId="3" fontId="10" fillId="7" borderId="10" xfId="0" applyNumberFormat="1" applyFont="1" applyFill="1" applyBorder="1" applyAlignment="1">
      <alignment horizontal="right"/>
    </xf>
    <xf numFmtId="3" fontId="12" fillId="9" borderId="10" xfId="0" applyNumberFormat="1" applyFont="1" applyFill="1" applyBorder="1" applyAlignment="1">
      <alignment horizontal="right"/>
    </xf>
    <xf numFmtId="0" fontId="1" fillId="0" borderId="4" xfId="0" applyFont="1" applyFill="1" applyBorder="1"/>
    <xf numFmtId="0" fontId="1" fillId="0" borderId="3" xfId="0" applyFont="1" applyFill="1" applyBorder="1"/>
    <xf numFmtId="3" fontId="1" fillId="0" borderId="12" xfId="0" applyNumberFormat="1" applyFont="1" applyFill="1" applyBorder="1"/>
    <xf numFmtId="3" fontId="12" fillId="4" borderId="9" xfId="0" applyNumberFormat="1" applyFont="1" applyFill="1" applyBorder="1"/>
    <xf numFmtId="3" fontId="12" fillId="4" borderId="3" xfId="0" applyNumberFormat="1" applyFont="1" applyFill="1" applyBorder="1"/>
    <xf numFmtId="3" fontId="12" fillId="7" borderId="3" xfId="0" applyNumberFormat="1" applyFont="1" applyFill="1" applyBorder="1"/>
    <xf numFmtId="3" fontId="12" fillId="4" borderId="10" xfId="0" applyNumberFormat="1" applyFont="1" applyFill="1" applyBorder="1"/>
    <xf numFmtId="3" fontId="12" fillId="8" borderId="10" xfId="0" applyNumberFormat="1" applyFont="1" applyFill="1" applyBorder="1"/>
    <xf numFmtId="3" fontId="1" fillId="0" borderId="0" xfId="0" applyNumberFormat="1" applyFont="1" applyFill="1" applyBorder="1"/>
    <xf numFmtId="3" fontId="1" fillId="2" borderId="0" xfId="0" applyNumberFormat="1" applyFont="1" applyFill="1" applyBorder="1"/>
    <xf numFmtId="0" fontId="1" fillId="2" borderId="0" xfId="0" applyFont="1" applyFill="1" applyBorder="1"/>
    <xf numFmtId="0" fontId="4" fillId="3" borderId="1" xfId="0" applyFont="1" applyFill="1" applyBorder="1"/>
    <xf numFmtId="3" fontId="10" fillId="3" borderId="9" xfId="0" applyNumberFormat="1" applyFont="1" applyFill="1" applyBorder="1"/>
    <xf numFmtId="3" fontId="12" fillId="3" borderId="9" xfId="0" applyNumberFormat="1" applyFont="1" applyFill="1" applyBorder="1"/>
    <xf numFmtId="0" fontId="4" fillId="3" borderId="3" xfId="0" applyFont="1" applyFill="1" applyBorder="1" applyAlignment="1"/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6" xfId="0" applyFont="1" applyBorder="1"/>
    <xf numFmtId="164" fontId="11" fillId="0" borderId="5" xfId="0" applyNumberFormat="1" applyFont="1" applyBorder="1" applyAlignment="1">
      <alignment horizontal="right"/>
    </xf>
    <xf numFmtId="164" fontId="29" fillId="7" borderId="5" xfId="0" applyNumberFormat="1" applyFont="1" applyFill="1" applyBorder="1" applyAlignment="1">
      <alignment horizontal="right"/>
    </xf>
    <xf numFmtId="164" fontId="11" fillId="8" borderId="5" xfId="0" applyNumberFormat="1" applyFont="1" applyFill="1" applyBorder="1" applyAlignment="1">
      <alignment horizontal="right"/>
    </xf>
    <xf numFmtId="0" fontId="1" fillId="0" borderId="17" xfId="0" applyFont="1" applyBorder="1"/>
    <xf numFmtId="164" fontId="11" fillId="0" borderId="8" xfId="0" applyNumberFormat="1" applyFont="1" applyBorder="1" applyAlignment="1">
      <alignment horizontal="right"/>
    </xf>
    <xf numFmtId="164" fontId="11" fillId="7" borderId="8" xfId="0" applyNumberFormat="1" applyFont="1" applyFill="1" applyBorder="1" applyAlignment="1">
      <alignment horizontal="right"/>
    </xf>
    <xf numFmtId="164" fontId="11" fillId="8" borderId="8" xfId="0" applyNumberFormat="1" applyFont="1" applyFill="1" applyBorder="1" applyAlignment="1">
      <alignment horizontal="right"/>
    </xf>
    <xf numFmtId="0" fontId="1" fillId="5" borderId="4" xfId="0" applyFont="1" applyFill="1" applyBorder="1"/>
    <xf numFmtId="164" fontId="32" fillId="5" borderId="2" xfId="0" applyNumberFormat="1" applyFont="1" applyFill="1" applyBorder="1" applyAlignment="1">
      <alignment horizontal="right"/>
    </xf>
    <xf numFmtId="164" fontId="32" fillId="5" borderId="3" xfId="0" applyNumberFormat="1" applyFont="1" applyFill="1" applyBorder="1" applyAlignment="1">
      <alignment horizontal="right"/>
    </xf>
    <xf numFmtId="0" fontId="1" fillId="0" borderId="1" xfId="0" applyFont="1" applyBorder="1"/>
    <xf numFmtId="0" fontId="33" fillId="0" borderId="0" xfId="0" applyFont="1" applyFill="1"/>
    <xf numFmtId="164" fontId="11" fillId="0" borderId="21" xfId="0" applyNumberFormat="1" applyFont="1" applyFill="1" applyBorder="1" applyAlignment="1">
      <alignment horizontal="right"/>
    </xf>
    <xf numFmtId="164" fontId="11" fillId="0" borderId="22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>
      <alignment horizontal="right"/>
    </xf>
    <xf numFmtId="164" fontId="12" fillId="0" borderId="21" xfId="0" applyNumberFormat="1" applyFont="1" applyFill="1" applyBorder="1" applyAlignment="1">
      <alignment horizontal="right"/>
    </xf>
    <xf numFmtId="164" fontId="11" fillId="0" borderId="5" xfId="0" applyNumberFormat="1" applyFont="1" applyFill="1" applyBorder="1" applyAlignment="1">
      <alignment horizontal="right"/>
    </xf>
    <xf numFmtId="164" fontId="11" fillId="0" borderId="8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28" fillId="5" borderId="9" xfId="0" applyFont="1" applyFill="1" applyBorder="1" applyAlignment="1">
      <alignment horizontal="center" vertical="center" wrapText="1"/>
    </xf>
    <xf numFmtId="0" fontId="28" fillId="5" borderId="10" xfId="0" applyFont="1" applyFill="1" applyBorder="1" applyAlignment="1">
      <alignment horizontal="center" vertical="center" wrapText="1"/>
    </xf>
    <xf numFmtId="14" fontId="23" fillId="5" borderId="10" xfId="0" applyNumberFormat="1" applyFont="1" applyFill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center" vertical="center" wrapText="1"/>
    </xf>
    <xf numFmtId="0" fontId="11" fillId="0" borderId="23" xfId="0" applyFont="1" applyFill="1" applyBorder="1"/>
    <xf numFmtId="0" fontId="11" fillId="0" borderId="24" xfId="0" applyFont="1" applyFill="1" applyBorder="1"/>
    <xf numFmtId="0" fontId="11" fillId="0" borderId="25" xfId="0" applyFont="1" applyFill="1" applyBorder="1"/>
    <xf numFmtId="0" fontId="18" fillId="0" borderId="24" xfId="0" applyFont="1" applyFill="1" applyBorder="1"/>
    <xf numFmtId="0" fontId="11" fillId="0" borderId="24" xfId="0" applyFont="1" applyFill="1" applyBorder="1" applyAlignment="1">
      <alignment horizontal="justify"/>
    </xf>
    <xf numFmtId="0" fontId="18" fillId="0" borderId="25" xfId="0" applyFont="1" applyFill="1" applyBorder="1" applyAlignment="1">
      <alignment horizontal="justify"/>
    </xf>
    <xf numFmtId="0" fontId="11" fillId="0" borderId="24" xfId="0" applyFont="1" applyFill="1" applyBorder="1" applyAlignment="1">
      <alignment vertical="center"/>
    </xf>
    <xf numFmtId="0" fontId="1" fillId="2" borderId="2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1017582</xdr:colOff>
      <xdr:row>50</xdr:row>
      <xdr:rowOff>30463</xdr:rowOff>
    </xdr:from>
    <xdr:ext cx="1021080" cy="960120"/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EEF337DA-526B-4CF2-BCAF-48BB06B4E316}"/>
            </a:ext>
          </a:extLst>
        </xdr:cNvPr>
        <xdr:cNvSpPr txBox="1"/>
      </xdr:nvSpPr>
      <xdr:spPr>
        <a:xfrm>
          <a:off x="11194515" y="11231863"/>
          <a:ext cx="1021080" cy="960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100"/>
            <a:t>b.ú. ČS</a:t>
          </a:r>
        </a:p>
        <a:p>
          <a:r>
            <a:rPr lang="cs-CZ" sz="1100"/>
            <a:t>spořící ČS</a:t>
          </a:r>
        </a:p>
        <a:p>
          <a:r>
            <a:rPr lang="cs-CZ" sz="1100"/>
            <a:t>ČNB</a:t>
          </a:r>
        </a:p>
        <a:p>
          <a:r>
            <a:rPr lang="cs-CZ" sz="1100" b="1"/>
            <a:t>celkem</a:t>
          </a:r>
        </a:p>
      </xdr:txBody>
    </xdr:sp>
    <xdr:clientData/>
  </xdr:oneCellAnchor>
  <xdr:twoCellAnchor editAs="oneCell">
    <xdr:from>
      <xdr:col>8</xdr:col>
      <xdr:colOff>1599353</xdr:colOff>
      <xdr:row>0</xdr:row>
      <xdr:rowOff>97128</xdr:rowOff>
    </xdr:from>
    <xdr:to>
      <xdr:col>9</xdr:col>
      <xdr:colOff>12680</xdr:colOff>
      <xdr:row>2</xdr:row>
      <xdr:rowOff>130809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21E64192-EF8E-4FDF-99AD-865E100C7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31220" y="97128"/>
          <a:ext cx="1088793" cy="490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6"/>
  <sheetViews>
    <sheetView showGridLines="0" tabSelected="1" zoomScale="90" zoomScaleNormal="90" workbookViewId="0">
      <selection activeCell="A43" sqref="A43"/>
    </sheetView>
  </sheetViews>
  <sheetFormatPr defaultRowHeight="15" x14ac:dyDescent="0.25"/>
  <cols>
    <col min="1" max="1" width="44.7109375" customWidth="1"/>
    <col min="2" max="2" width="13.5703125" style="4" customWidth="1"/>
    <col min="3" max="3" width="11.42578125" customWidth="1"/>
    <col min="4" max="4" width="11" customWidth="1"/>
    <col min="5" max="5" width="13.5703125" customWidth="1"/>
    <col min="6" max="6" width="13.7109375" customWidth="1"/>
    <col min="7" max="8" width="14.7109375" customWidth="1"/>
    <col min="9" max="9" width="39" customWidth="1"/>
    <col min="10" max="10" width="1.140625" customWidth="1"/>
    <col min="11" max="11" width="9.7109375" customWidth="1"/>
    <col min="12" max="12" width="12.28515625" customWidth="1"/>
    <col min="14" max="14" width="7.5703125" customWidth="1"/>
  </cols>
  <sheetData>
    <row r="1" spans="1:12" ht="20.25" x14ac:dyDescent="0.25">
      <c r="A1" s="41" t="s">
        <v>20</v>
      </c>
      <c r="B1" s="51"/>
      <c r="C1" s="35"/>
      <c r="D1" s="35"/>
      <c r="E1" s="35"/>
      <c r="F1" s="35"/>
      <c r="G1" s="16"/>
      <c r="H1" s="35"/>
    </row>
    <row r="3" spans="1:12" x14ac:dyDescent="0.25">
      <c r="A3" s="42" t="s">
        <v>61</v>
      </c>
      <c r="B3" s="43"/>
      <c r="C3" s="2"/>
      <c r="D3" s="2"/>
      <c r="E3" s="2"/>
      <c r="F3" s="2"/>
      <c r="G3" s="2"/>
      <c r="H3" s="2"/>
      <c r="I3" s="1"/>
    </row>
    <row r="4" spans="1:12" ht="15.75" thickBot="1" x14ac:dyDescent="0.3">
      <c r="A4" s="3"/>
      <c r="B4" s="52"/>
      <c r="C4" s="5"/>
      <c r="D4" s="5"/>
      <c r="E4" s="5"/>
      <c r="F4" s="5"/>
      <c r="G4" s="5"/>
      <c r="H4" s="5"/>
      <c r="I4" s="1"/>
    </row>
    <row r="5" spans="1:12" ht="27.6" customHeight="1" thickBot="1" x14ac:dyDescent="0.3">
      <c r="A5" s="21" t="s">
        <v>0</v>
      </c>
      <c r="B5" s="112" t="s">
        <v>34</v>
      </c>
      <c r="C5" s="69" t="s">
        <v>49</v>
      </c>
      <c r="D5" s="69" t="s">
        <v>51</v>
      </c>
      <c r="E5" s="125" t="s">
        <v>53</v>
      </c>
      <c r="F5" s="89" t="s">
        <v>56</v>
      </c>
      <c r="G5" s="126" t="s">
        <v>35</v>
      </c>
      <c r="H5" s="117" t="s">
        <v>52</v>
      </c>
      <c r="I5" s="20" t="s">
        <v>1</v>
      </c>
      <c r="J5" s="18"/>
    </row>
    <row r="6" spans="1:12" s="8" customFormat="1" ht="15" customHeight="1" x14ac:dyDescent="0.25">
      <c r="A6" s="179" t="s">
        <v>2</v>
      </c>
      <c r="B6" s="32">
        <v>203000</v>
      </c>
      <c r="C6" s="33"/>
      <c r="D6" s="33">
        <v>2826</v>
      </c>
      <c r="E6" s="33">
        <v>205826</v>
      </c>
      <c r="F6" s="90"/>
      <c r="G6" s="33">
        <v>205826</v>
      </c>
      <c r="H6" s="118">
        <v>205826</v>
      </c>
      <c r="I6" s="37"/>
    </row>
    <row r="7" spans="1:12" s="8" customFormat="1" ht="15" customHeight="1" x14ac:dyDescent="0.25">
      <c r="A7" s="179" t="s">
        <v>36</v>
      </c>
      <c r="B7" s="32"/>
      <c r="C7" s="33">
        <f>130000+130000</f>
        <v>260000</v>
      </c>
      <c r="D7" s="33">
        <v>19942</v>
      </c>
      <c r="E7" s="33">
        <v>279944</v>
      </c>
      <c r="F7" s="90"/>
      <c r="G7" s="33">
        <v>279942</v>
      </c>
      <c r="H7" s="118">
        <v>279942</v>
      </c>
      <c r="I7" s="50" t="s">
        <v>46</v>
      </c>
    </row>
    <row r="8" spans="1:12" s="8" customFormat="1" ht="15" customHeight="1" x14ac:dyDescent="0.25">
      <c r="A8" s="179" t="s">
        <v>22</v>
      </c>
      <c r="B8" s="32">
        <v>211800</v>
      </c>
      <c r="C8" s="33"/>
      <c r="D8" s="33"/>
      <c r="E8" s="33">
        <v>195600</v>
      </c>
      <c r="F8" s="90"/>
      <c r="G8" s="33">
        <f>B8+C8</f>
        <v>211800</v>
      </c>
      <c r="H8" s="118">
        <v>211800</v>
      </c>
      <c r="I8" s="36" t="s">
        <v>23</v>
      </c>
      <c r="J8" s="9"/>
      <c r="K8" s="7"/>
    </row>
    <row r="9" spans="1:12" s="4" customFormat="1" ht="15" customHeight="1" x14ac:dyDescent="0.25">
      <c r="A9" s="180" t="s">
        <v>3</v>
      </c>
      <c r="B9" s="32">
        <v>10000</v>
      </c>
      <c r="C9" s="33"/>
      <c r="D9" s="33"/>
      <c r="E9" s="33">
        <v>441</v>
      </c>
      <c r="F9" s="90">
        <v>-9000</v>
      </c>
      <c r="G9" s="33">
        <f>B9+F9</f>
        <v>1000</v>
      </c>
      <c r="H9" s="118">
        <v>10000</v>
      </c>
      <c r="I9" s="36"/>
      <c r="J9" s="7"/>
      <c r="K9" s="7"/>
    </row>
    <row r="10" spans="1:12" s="4" customFormat="1" ht="15" customHeight="1" x14ac:dyDescent="0.25">
      <c r="A10" s="181" t="s">
        <v>13</v>
      </c>
      <c r="B10" s="113">
        <v>80000</v>
      </c>
      <c r="C10" s="70"/>
      <c r="D10" s="33"/>
      <c r="E10" s="33">
        <v>0</v>
      </c>
      <c r="F10" s="90"/>
      <c r="G10" s="33">
        <f>B10+C10</f>
        <v>80000</v>
      </c>
      <c r="H10" s="118">
        <v>100000</v>
      </c>
      <c r="I10" s="39"/>
      <c r="J10" s="7"/>
      <c r="K10" s="7"/>
    </row>
    <row r="11" spans="1:12" s="4" customFormat="1" ht="15" customHeight="1" x14ac:dyDescent="0.25">
      <c r="A11" s="182" t="s">
        <v>45</v>
      </c>
      <c r="B11" s="95">
        <f>42150*4</f>
        <v>168600</v>
      </c>
      <c r="C11" s="74"/>
      <c r="D11" s="74">
        <v>-462</v>
      </c>
      <c r="E11" s="33">
        <v>168138</v>
      </c>
      <c r="F11" s="90"/>
      <c r="G11" s="74">
        <v>168138</v>
      </c>
      <c r="H11" s="119" t="s">
        <v>55</v>
      </c>
      <c r="I11" s="76" t="s">
        <v>25</v>
      </c>
      <c r="J11" s="7"/>
      <c r="K11" s="53"/>
    </row>
    <row r="12" spans="1:12" s="4" customFormat="1" ht="15" customHeight="1" x14ac:dyDescent="0.25">
      <c r="A12" s="180" t="s">
        <v>17</v>
      </c>
      <c r="B12" s="32">
        <v>4015110</v>
      </c>
      <c r="C12" s="33"/>
      <c r="D12" s="33"/>
      <c r="E12" s="33">
        <v>282495.78000000003</v>
      </c>
      <c r="F12" s="90">
        <f>-(B12-G12)</f>
        <v>-3055393</v>
      </c>
      <c r="G12" s="33">
        <f>282496+677221</f>
        <v>959717</v>
      </c>
      <c r="H12" s="118">
        <v>5200000</v>
      </c>
      <c r="I12" s="44"/>
      <c r="J12" s="7"/>
      <c r="K12" s="28"/>
    </row>
    <row r="13" spans="1:12" s="4" customFormat="1" ht="15" customHeight="1" x14ac:dyDescent="0.25">
      <c r="A13" s="180" t="s">
        <v>18</v>
      </c>
      <c r="B13" s="32">
        <f>475449.69/2</f>
        <v>237724.845</v>
      </c>
      <c r="C13" s="33"/>
      <c r="D13" s="33"/>
      <c r="E13" s="33">
        <v>0</v>
      </c>
      <c r="F13" s="90">
        <v>-237725</v>
      </c>
      <c r="G13" s="33">
        <v>0</v>
      </c>
      <c r="H13" s="118">
        <v>336000</v>
      </c>
      <c r="I13" s="45"/>
      <c r="K13" s="23"/>
      <c r="L13" s="24"/>
    </row>
    <row r="14" spans="1:12" s="8" customFormat="1" ht="15" customHeight="1" x14ac:dyDescent="0.25">
      <c r="A14" s="180" t="s">
        <v>19</v>
      </c>
      <c r="B14" s="32">
        <f>(2*1300000)-(2*1300000)*5%</f>
        <v>2470000</v>
      </c>
      <c r="C14" s="33"/>
      <c r="D14" s="33"/>
      <c r="E14" s="33">
        <v>1235000</v>
      </c>
      <c r="F14" s="90"/>
      <c r="G14" s="33">
        <f>B14+C14</f>
        <v>2470000</v>
      </c>
      <c r="H14" s="118">
        <v>378000</v>
      </c>
      <c r="I14" s="46" t="s">
        <v>24</v>
      </c>
      <c r="J14" s="7"/>
      <c r="K14" s="28"/>
    </row>
    <row r="15" spans="1:12" s="8" customFormat="1" ht="15" customHeight="1" x14ac:dyDescent="0.25">
      <c r="A15" s="182" t="s">
        <v>21</v>
      </c>
      <c r="B15" s="115">
        <f>2600000*5%</f>
        <v>130000</v>
      </c>
      <c r="C15" s="78">
        <v>-130000</v>
      </c>
      <c r="D15" s="74"/>
      <c r="E15" s="74">
        <v>0</v>
      </c>
      <c r="F15" s="90"/>
      <c r="G15" s="74">
        <f>B15+C15</f>
        <v>0</v>
      </c>
      <c r="H15" s="119" t="s">
        <v>55</v>
      </c>
      <c r="I15" s="130" t="s">
        <v>54</v>
      </c>
    </row>
    <row r="16" spans="1:12" s="8" customFormat="1" ht="15" customHeight="1" x14ac:dyDescent="0.25">
      <c r="A16" s="180" t="s">
        <v>37</v>
      </c>
      <c r="B16" s="32"/>
      <c r="C16" s="33">
        <f>(460800/24)*6</f>
        <v>115200</v>
      </c>
      <c r="D16" s="33"/>
      <c r="E16" s="33">
        <v>40050</v>
      </c>
      <c r="F16" s="90">
        <f>-(C16-G16)</f>
        <v>-15080</v>
      </c>
      <c r="G16" s="33">
        <f>5*20024</f>
        <v>100120</v>
      </c>
      <c r="H16" s="118">
        <f>12*20024</f>
        <v>240288</v>
      </c>
      <c r="I16" s="46"/>
      <c r="J16" s="7"/>
      <c r="K16" s="7"/>
    </row>
    <row r="17" spans="1:14" s="8" customFormat="1" ht="15" customHeight="1" x14ac:dyDescent="0.25">
      <c r="A17" s="180" t="s">
        <v>48</v>
      </c>
      <c r="B17" s="32"/>
      <c r="C17" s="33">
        <f>6*(3800*1.21)</f>
        <v>27588</v>
      </c>
      <c r="D17" s="33"/>
      <c r="E17" s="33">
        <v>0</v>
      </c>
      <c r="F17" s="90">
        <v>-27588</v>
      </c>
      <c r="G17" s="33">
        <v>0</v>
      </c>
      <c r="H17" s="118">
        <f>12*(4100*1.21)+24805</f>
        <v>84337</v>
      </c>
      <c r="I17" s="46"/>
      <c r="J17" s="7"/>
      <c r="K17" s="7"/>
    </row>
    <row r="18" spans="1:14" s="8" customFormat="1" ht="15" customHeight="1" x14ac:dyDescent="0.25">
      <c r="A18" s="180" t="s">
        <v>7</v>
      </c>
      <c r="B18" s="114"/>
      <c r="C18" s="71"/>
      <c r="D18" s="33">
        <v>100000</v>
      </c>
      <c r="E18" s="33">
        <v>100000</v>
      </c>
      <c r="F18" s="90"/>
      <c r="G18" s="33">
        <v>100000</v>
      </c>
      <c r="H18" s="118"/>
      <c r="I18" s="36" t="s">
        <v>15</v>
      </c>
      <c r="J18" s="10"/>
      <c r="K18" s="7"/>
    </row>
    <row r="19" spans="1:14" s="8" customFormat="1" ht="15" customHeight="1" x14ac:dyDescent="0.25">
      <c r="A19" s="183" t="s">
        <v>57</v>
      </c>
      <c r="B19" s="114"/>
      <c r="C19" s="71"/>
      <c r="D19" s="33">
        <v>130000</v>
      </c>
      <c r="E19" s="33">
        <v>130000</v>
      </c>
      <c r="F19" s="90"/>
      <c r="G19" s="33">
        <v>130000</v>
      </c>
      <c r="H19" s="118"/>
      <c r="I19" s="36" t="s">
        <v>15</v>
      </c>
      <c r="J19" s="7"/>
      <c r="K19" s="7"/>
    </row>
    <row r="20" spans="1:14" s="8" customFormat="1" ht="15" customHeight="1" x14ac:dyDescent="0.25">
      <c r="A20" s="183" t="s">
        <v>58</v>
      </c>
      <c r="B20" s="115"/>
      <c r="C20" s="33">
        <v>15555.55</v>
      </c>
      <c r="D20" s="33"/>
      <c r="E20" s="33">
        <v>0</v>
      </c>
      <c r="F20" s="90"/>
      <c r="G20" s="33">
        <f>B20+C20</f>
        <v>15555.55</v>
      </c>
      <c r="H20" s="118">
        <v>14444</v>
      </c>
      <c r="I20" s="36" t="s">
        <v>47</v>
      </c>
      <c r="J20" s="7"/>
      <c r="K20" s="28"/>
    </row>
    <row r="21" spans="1:14" s="8" customFormat="1" ht="15" customHeight="1" x14ac:dyDescent="0.25">
      <c r="A21" s="184" t="s">
        <v>27</v>
      </c>
      <c r="B21" s="116"/>
      <c r="C21" s="78">
        <v>15473</v>
      </c>
      <c r="D21" s="74"/>
      <c r="E21" s="33">
        <v>15473</v>
      </c>
      <c r="F21" s="91"/>
      <c r="G21" s="74">
        <f>B21+C21</f>
        <v>15473</v>
      </c>
      <c r="H21" s="119" t="s">
        <v>55</v>
      </c>
      <c r="I21" s="38"/>
      <c r="K21" s="77"/>
    </row>
    <row r="22" spans="1:14" s="8" customFormat="1" ht="15" customHeight="1" thickBot="1" x14ac:dyDescent="0.3">
      <c r="A22" s="184" t="s">
        <v>28</v>
      </c>
      <c r="B22" s="116"/>
      <c r="C22" s="78">
        <v>57490</v>
      </c>
      <c r="D22" s="74"/>
      <c r="E22" s="33">
        <v>57490</v>
      </c>
      <c r="F22" s="91"/>
      <c r="G22" s="74">
        <f>B22+C22</f>
        <v>57490</v>
      </c>
      <c r="H22" s="119" t="s">
        <v>55</v>
      </c>
      <c r="I22" s="38"/>
      <c r="J22" s="7"/>
      <c r="K22" s="7"/>
    </row>
    <row r="23" spans="1:14" ht="19.149999999999999" customHeight="1" thickBot="1" x14ac:dyDescent="0.3">
      <c r="A23" s="128" t="s">
        <v>4</v>
      </c>
      <c r="B23" s="131">
        <f t="shared" ref="B23:H23" si="0">SUM(B6:B22)</f>
        <v>7526234.8449999997</v>
      </c>
      <c r="C23" s="132">
        <f t="shared" si="0"/>
        <v>361306.55</v>
      </c>
      <c r="D23" s="132">
        <f t="shared" si="0"/>
        <v>252306</v>
      </c>
      <c r="E23" s="133">
        <f t="shared" si="0"/>
        <v>2710457.7800000003</v>
      </c>
      <c r="F23" s="134">
        <f t="shared" si="0"/>
        <v>-3344786</v>
      </c>
      <c r="G23" s="133">
        <f t="shared" si="0"/>
        <v>4795061.55</v>
      </c>
      <c r="H23" s="135">
        <f t="shared" si="0"/>
        <v>7060637</v>
      </c>
      <c r="I23" s="129"/>
      <c r="J23" s="6"/>
      <c r="K23" s="7"/>
      <c r="L23" s="4"/>
      <c r="M23" s="4"/>
      <c r="N23" s="4"/>
    </row>
    <row r="24" spans="1:14" ht="15.75" thickBot="1" x14ac:dyDescent="0.3">
      <c r="A24" s="136"/>
      <c r="B24" s="57"/>
      <c r="C24" s="57"/>
      <c r="D24" s="57"/>
      <c r="E24" s="57"/>
      <c r="F24" s="57"/>
      <c r="G24" s="57"/>
      <c r="H24" s="57"/>
      <c r="I24" s="137"/>
      <c r="K24" s="4"/>
      <c r="L24" s="4"/>
      <c r="M24" s="4"/>
      <c r="N24" s="4"/>
    </row>
    <row r="25" spans="1:14" ht="26.25" thickBot="1" x14ac:dyDescent="0.3">
      <c r="A25" s="21" t="s">
        <v>5</v>
      </c>
      <c r="B25" s="112" t="s">
        <v>34</v>
      </c>
      <c r="C25" s="69" t="s">
        <v>49</v>
      </c>
      <c r="D25" s="69" t="s">
        <v>51</v>
      </c>
      <c r="E25" s="125" t="s">
        <v>53</v>
      </c>
      <c r="F25" s="89" t="s">
        <v>56</v>
      </c>
      <c r="G25" s="127" t="s">
        <v>35</v>
      </c>
      <c r="H25" s="72" t="s">
        <v>52</v>
      </c>
      <c r="I25" s="20" t="s">
        <v>1</v>
      </c>
      <c r="K25" s="4"/>
      <c r="L25" s="4"/>
      <c r="M25" s="4"/>
      <c r="N25" s="4"/>
    </row>
    <row r="26" spans="1:14" ht="15" customHeight="1" x14ac:dyDescent="0.25">
      <c r="A26" s="179" t="s">
        <v>6</v>
      </c>
      <c r="B26" s="34">
        <v>9000</v>
      </c>
      <c r="C26" s="83"/>
      <c r="D26" s="68"/>
      <c r="E26" s="68">
        <v>4487</v>
      </c>
      <c r="F26" s="66"/>
      <c r="G26" s="123">
        <f t="shared" ref="G26:G31" si="1">B26+C26</f>
        <v>9000</v>
      </c>
      <c r="H26" s="79">
        <v>9000</v>
      </c>
      <c r="I26" s="47"/>
      <c r="K26" s="25"/>
      <c r="L26" s="26"/>
      <c r="M26" s="26"/>
      <c r="N26" s="26"/>
    </row>
    <row r="27" spans="1:14" ht="15" customHeight="1" x14ac:dyDescent="0.25">
      <c r="A27" s="183" t="s">
        <v>26</v>
      </c>
      <c r="B27" s="114"/>
      <c r="C27" s="32">
        <v>155555.54999999999</v>
      </c>
      <c r="D27" s="67"/>
      <c r="E27" s="67">
        <v>155556</v>
      </c>
      <c r="F27" s="92"/>
      <c r="G27" s="123">
        <f t="shared" si="1"/>
        <v>155555.54999999999</v>
      </c>
      <c r="H27" s="79">
        <v>144444</v>
      </c>
      <c r="I27" s="48"/>
      <c r="K27" s="23"/>
      <c r="L27" s="27"/>
      <c r="M27" s="4"/>
      <c r="N27" s="24"/>
    </row>
    <row r="28" spans="1:14" s="8" customFormat="1" ht="15" customHeight="1" x14ac:dyDescent="0.25">
      <c r="A28" s="184" t="s">
        <v>27</v>
      </c>
      <c r="B28" s="95"/>
      <c r="C28" s="95">
        <v>13000</v>
      </c>
      <c r="D28" s="96"/>
      <c r="E28" s="96">
        <v>13000</v>
      </c>
      <c r="F28" s="97"/>
      <c r="G28" s="124">
        <f t="shared" si="1"/>
        <v>13000</v>
      </c>
      <c r="H28" s="75" t="s">
        <v>55</v>
      </c>
      <c r="I28" s="98"/>
      <c r="J28" s="7"/>
      <c r="K28" s="7"/>
    </row>
    <row r="29" spans="1:14" ht="15" customHeight="1" x14ac:dyDescent="0.25">
      <c r="A29" s="180" t="s">
        <v>7</v>
      </c>
      <c r="B29" s="84">
        <f>45000+5820</f>
        <v>50820</v>
      </c>
      <c r="C29" s="84"/>
      <c r="D29" s="68"/>
      <c r="E29" s="68">
        <v>46375</v>
      </c>
      <c r="F29" s="104">
        <v>10000</v>
      </c>
      <c r="G29" s="123">
        <f t="shared" si="1"/>
        <v>50820</v>
      </c>
      <c r="H29" s="79">
        <v>60000</v>
      </c>
      <c r="I29" s="61" t="s">
        <v>40</v>
      </c>
      <c r="K29" s="11"/>
      <c r="L29" s="29"/>
      <c r="M29" s="30"/>
      <c r="N29" s="22"/>
    </row>
    <row r="30" spans="1:14" ht="15" customHeight="1" x14ac:dyDescent="0.25">
      <c r="A30" s="180" t="s">
        <v>39</v>
      </c>
      <c r="B30" s="84">
        <v>60000</v>
      </c>
      <c r="C30" s="84">
        <v>-36000</v>
      </c>
      <c r="D30" s="68"/>
      <c r="E30" s="68">
        <v>0</v>
      </c>
      <c r="F30" s="66"/>
      <c r="G30" s="123">
        <f t="shared" si="1"/>
        <v>24000</v>
      </c>
      <c r="H30" s="79">
        <v>24000</v>
      </c>
      <c r="I30" s="60"/>
      <c r="K30" s="4"/>
      <c r="L30" s="4"/>
      <c r="M30" s="4"/>
      <c r="N30" s="4"/>
    </row>
    <row r="31" spans="1:14" ht="15" customHeight="1" x14ac:dyDescent="0.25">
      <c r="A31" s="180" t="s">
        <v>8</v>
      </c>
      <c r="B31" s="84">
        <v>11000</v>
      </c>
      <c r="C31" s="84"/>
      <c r="D31" s="68"/>
      <c r="E31" s="68">
        <v>7490.54</v>
      </c>
      <c r="F31" s="66"/>
      <c r="G31" s="123">
        <f t="shared" si="1"/>
        <v>11000</v>
      </c>
      <c r="H31" s="79">
        <v>10000</v>
      </c>
      <c r="I31" s="62"/>
      <c r="J31" s="4"/>
    </row>
    <row r="32" spans="1:14" s="4" customFormat="1" ht="15" customHeight="1" x14ac:dyDescent="0.25">
      <c r="A32" s="185" t="s">
        <v>29</v>
      </c>
      <c r="B32" s="85">
        <f>(17662*12)+(42150*12)+(6100*12)+(3900*6)+24000+48000</f>
        <v>886344</v>
      </c>
      <c r="C32" s="85">
        <f>-(B32-G32)</f>
        <v>-294996</v>
      </c>
      <c r="D32" s="86"/>
      <c r="E32" s="86">
        <v>439049</v>
      </c>
      <c r="F32" s="93"/>
      <c r="G32" s="85">
        <f>(17662*12)+(28767*5)+(9567*7)+(6100*12)+(3900*6)+24000+48000</f>
        <v>591348</v>
      </c>
      <c r="H32" s="111">
        <v>1119570</v>
      </c>
      <c r="I32" s="46" t="s">
        <v>62</v>
      </c>
      <c r="K32" s="102"/>
    </row>
    <row r="33" spans="1:14" ht="15" customHeight="1" x14ac:dyDescent="0.25">
      <c r="A33" s="182" t="s">
        <v>42</v>
      </c>
      <c r="B33" s="99">
        <f>28150*1.21</f>
        <v>34061.5</v>
      </c>
      <c r="C33" s="99"/>
      <c r="D33" s="100"/>
      <c r="E33" s="100">
        <v>34062</v>
      </c>
      <c r="F33" s="101"/>
      <c r="G33" s="124">
        <f>B33+C33</f>
        <v>34061.5</v>
      </c>
      <c r="H33" s="73" t="s">
        <v>55</v>
      </c>
      <c r="I33" s="98"/>
      <c r="J33" s="12"/>
      <c r="K33" s="12"/>
    </row>
    <row r="34" spans="1:14" ht="15" customHeight="1" x14ac:dyDescent="0.25">
      <c r="A34" s="180" t="s">
        <v>44</v>
      </c>
      <c r="B34" s="84">
        <f>1675000+318000</f>
        <v>1993000</v>
      </c>
      <c r="C34" s="84"/>
      <c r="D34" s="68"/>
      <c r="E34" s="68">
        <v>1618678</v>
      </c>
      <c r="F34" s="66"/>
      <c r="G34" s="123">
        <f>B34+C34</f>
        <v>1993000</v>
      </c>
      <c r="H34" s="79">
        <v>1100000</v>
      </c>
      <c r="I34" s="60"/>
      <c r="K34" s="12"/>
    </row>
    <row r="35" spans="1:14" ht="15" customHeight="1" x14ac:dyDescent="0.25">
      <c r="A35" s="180" t="s">
        <v>33</v>
      </c>
      <c r="B35" s="84">
        <v>1100000</v>
      </c>
      <c r="C35" s="84"/>
      <c r="D35" s="68"/>
      <c r="E35" s="68">
        <v>1068151</v>
      </c>
      <c r="F35" s="104">
        <v>100000</v>
      </c>
      <c r="G35" s="123">
        <f>B35+F35</f>
        <v>1200000</v>
      </c>
      <c r="H35" s="79">
        <v>1160000</v>
      </c>
      <c r="I35" s="63"/>
      <c r="K35" s="12"/>
    </row>
    <row r="36" spans="1:14" ht="15" customHeight="1" x14ac:dyDescent="0.25">
      <c r="A36" s="180" t="s">
        <v>43</v>
      </c>
      <c r="B36" s="84">
        <f>241200*2</f>
        <v>482400</v>
      </c>
      <c r="C36" s="84"/>
      <c r="D36" s="68"/>
      <c r="E36" s="68">
        <v>436429</v>
      </c>
      <c r="F36" s="66"/>
      <c r="G36" s="123">
        <f>2*(12*20099)</f>
        <v>482376</v>
      </c>
      <c r="H36" s="79">
        <f>6*20099</f>
        <v>120594</v>
      </c>
      <c r="I36" s="63"/>
      <c r="J36" s="19"/>
      <c r="K36" s="65"/>
      <c r="L36" s="56"/>
      <c r="M36" s="18"/>
      <c r="N36" s="18"/>
    </row>
    <row r="37" spans="1:14" ht="15" customHeight="1" x14ac:dyDescent="0.25">
      <c r="A37" s="180" t="s">
        <v>30</v>
      </c>
      <c r="B37" s="138">
        <f>347904+204000</f>
        <v>551904</v>
      </c>
      <c r="C37" s="34">
        <f>G37-B37</f>
        <v>71832</v>
      </c>
      <c r="D37" s="68"/>
      <c r="E37" s="68">
        <v>357746</v>
      </c>
      <c r="F37" s="104">
        <v>-123736</v>
      </c>
      <c r="G37" s="123">
        <f>65000+85000+(2*12000)+(12*4167)+(150*110)+(29436*12)+30000</f>
        <v>623736</v>
      </c>
      <c r="H37" s="79">
        <v>100000</v>
      </c>
      <c r="I37" s="63"/>
      <c r="K37" s="12"/>
      <c r="L37" s="56"/>
      <c r="M37" s="57"/>
      <c r="N37" s="18"/>
    </row>
    <row r="38" spans="1:14" ht="15" customHeight="1" x14ac:dyDescent="0.25">
      <c r="A38" s="180" t="s">
        <v>31</v>
      </c>
      <c r="B38" s="34">
        <v>3800000</v>
      </c>
      <c r="C38" s="34"/>
      <c r="D38" s="68"/>
      <c r="E38" s="68">
        <v>690363</v>
      </c>
      <c r="F38" s="104">
        <f>-(B38-G38)</f>
        <v>-1120612</v>
      </c>
      <c r="G38" s="123">
        <f>690363+1989025</f>
        <v>2679388</v>
      </c>
      <c r="H38" s="79">
        <v>4485000</v>
      </c>
      <c r="I38" s="63" t="s">
        <v>32</v>
      </c>
      <c r="K38" s="12"/>
      <c r="L38" s="56"/>
      <c r="M38" s="57"/>
      <c r="N38" s="18"/>
    </row>
    <row r="39" spans="1:14" s="4" customFormat="1" ht="15" customHeight="1" x14ac:dyDescent="0.25">
      <c r="A39" s="185" t="s">
        <v>38</v>
      </c>
      <c r="B39" s="85"/>
      <c r="C39" s="85">
        <f>7*19200</f>
        <v>134400</v>
      </c>
      <c r="D39" s="87"/>
      <c r="E39" s="87">
        <v>100122</v>
      </c>
      <c r="F39" s="103">
        <f>G39-C39</f>
        <v>5768</v>
      </c>
      <c r="G39" s="123">
        <f>7*20024</f>
        <v>140168</v>
      </c>
      <c r="H39" s="79">
        <f>12*20024</f>
        <v>240288</v>
      </c>
      <c r="I39" s="46"/>
      <c r="L39" s="22"/>
      <c r="M39" s="58"/>
      <c r="N39" s="22"/>
    </row>
    <row r="40" spans="1:14" s="8" customFormat="1" ht="15" customHeight="1" x14ac:dyDescent="0.25">
      <c r="A40" s="180" t="s">
        <v>48</v>
      </c>
      <c r="B40" s="32"/>
      <c r="C40" s="32">
        <f>6*(3800*1.21)</f>
        <v>27588</v>
      </c>
      <c r="D40" s="67"/>
      <c r="E40" s="67">
        <v>24805</v>
      </c>
      <c r="F40" s="105">
        <f>-(G40-E40)</f>
        <v>-2783</v>
      </c>
      <c r="G40" s="33">
        <f>C40</f>
        <v>27588</v>
      </c>
      <c r="H40" s="73">
        <f>12*(4100*1.21)</f>
        <v>59532</v>
      </c>
      <c r="I40" s="46"/>
      <c r="J40" s="7"/>
      <c r="K40" s="7"/>
    </row>
    <row r="41" spans="1:14" ht="15" customHeight="1" thickBot="1" x14ac:dyDescent="0.3">
      <c r="A41" s="181" t="s">
        <v>41</v>
      </c>
      <c r="B41" s="81">
        <v>30000</v>
      </c>
      <c r="C41" s="81"/>
      <c r="D41" s="82"/>
      <c r="E41" s="122">
        <v>15805.54</v>
      </c>
      <c r="F41" s="94">
        <v>-10000</v>
      </c>
      <c r="G41" s="84">
        <f>B41</f>
        <v>30000</v>
      </c>
      <c r="H41" s="80">
        <v>30000</v>
      </c>
      <c r="I41" s="64"/>
      <c r="J41" s="54"/>
      <c r="K41" s="55"/>
      <c r="M41" s="12"/>
    </row>
    <row r="42" spans="1:14" ht="18.75" customHeight="1" thickBot="1" x14ac:dyDescent="0.3">
      <c r="A42" s="128" t="s">
        <v>9</v>
      </c>
      <c r="B42" s="139">
        <f>SUM(B26:B41)</f>
        <v>9008529.5</v>
      </c>
      <c r="C42" s="139">
        <f>SUM(C26:C41)</f>
        <v>71379.549999999988</v>
      </c>
      <c r="D42" s="140">
        <v>0</v>
      </c>
      <c r="E42" s="140">
        <f>SUM(E26:E41)</f>
        <v>5012119.08</v>
      </c>
      <c r="F42" s="141">
        <f>SUM(F26:F41)</f>
        <v>-1141363</v>
      </c>
      <c r="G42" s="142">
        <f>SUM(G26:G41)</f>
        <v>8065041.0499999998</v>
      </c>
      <c r="H42" s="143">
        <f>SUM(H26:H41)</f>
        <v>8662428</v>
      </c>
      <c r="I42" s="129"/>
    </row>
    <row r="43" spans="1:14" ht="15.75" thickBot="1" x14ac:dyDescent="0.3">
      <c r="A43" s="186"/>
      <c r="B43" s="144"/>
      <c r="C43" s="88"/>
      <c r="D43" s="88"/>
      <c r="E43" s="144"/>
      <c r="F43" s="145"/>
      <c r="G43" s="145"/>
      <c r="H43" s="145"/>
      <c r="I43" s="146"/>
    </row>
    <row r="44" spans="1:14" ht="16.149999999999999" customHeight="1" thickBot="1" x14ac:dyDescent="0.3">
      <c r="A44" s="147" t="s">
        <v>10</v>
      </c>
      <c r="B44" s="148">
        <f t="shared" ref="B44:H44" si="2">B23-B42</f>
        <v>-1482294.6550000003</v>
      </c>
      <c r="C44" s="149">
        <f t="shared" si="2"/>
        <v>289927</v>
      </c>
      <c r="D44" s="149">
        <f t="shared" si="2"/>
        <v>252306</v>
      </c>
      <c r="E44" s="148">
        <f t="shared" si="2"/>
        <v>-2301661.2999999998</v>
      </c>
      <c r="F44" s="148">
        <f t="shared" si="2"/>
        <v>-2203423</v>
      </c>
      <c r="G44" s="148">
        <f t="shared" si="2"/>
        <v>-3269979.5</v>
      </c>
      <c r="H44" s="148">
        <f t="shared" si="2"/>
        <v>-1601791</v>
      </c>
      <c r="I44" s="150"/>
    </row>
    <row r="45" spans="1:14" ht="15.75" thickBot="1" x14ac:dyDescent="0.3">
      <c r="A45" s="151"/>
      <c r="B45" s="152"/>
      <c r="C45" s="151"/>
      <c r="D45" s="151"/>
      <c r="E45" s="152"/>
      <c r="F45" s="151"/>
      <c r="G45" s="151"/>
      <c r="H45" s="151"/>
      <c r="I45" s="152"/>
      <c r="J45" s="4"/>
    </row>
    <row r="46" spans="1:14" ht="30.6" customHeight="1" thickBot="1" x14ac:dyDescent="0.3">
      <c r="A46" s="31" t="s">
        <v>16</v>
      </c>
      <c r="B46" s="175" t="s">
        <v>34</v>
      </c>
      <c r="C46" s="176" t="s">
        <v>50</v>
      </c>
      <c r="D46" s="176" t="s">
        <v>51</v>
      </c>
      <c r="E46" s="177" t="s">
        <v>53</v>
      </c>
      <c r="F46" s="121" t="s">
        <v>56</v>
      </c>
      <c r="G46" s="178" t="s">
        <v>35</v>
      </c>
      <c r="H46" s="72" t="s">
        <v>52</v>
      </c>
      <c r="I46" s="153"/>
      <c r="J46" s="4"/>
    </row>
    <row r="47" spans="1:14" x14ac:dyDescent="0.25">
      <c r="A47" s="154" t="s">
        <v>11</v>
      </c>
      <c r="B47" s="167">
        <f t="shared" ref="B47:H47" si="3">B23</f>
        <v>7526234.8449999997</v>
      </c>
      <c r="C47" s="155">
        <f t="shared" si="3"/>
        <v>361306.55</v>
      </c>
      <c r="D47" s="155">
        <f t="shared" si="3"/>
        <v>252306</v>
      </c>
      <c r="E47" s="155">
        <f t="shared" si="3"/>
        <v>2710457.7800000003</v>
      </c>
      <c r="F47" s="156">
        <f t="shared" si="3"/>
        <v>-3344786</v>
      </c>
      <c r="G47" s="171">
        <f t="shared" si="3"/>
        <v>4795061.55</v>
      </c>
      <c r="H47" s="157">
        <f t="shared" si="3"/>
        <v>7060637</v>
      </c>
      <c r="I47" s="153"/>
      <c r="J47" s="4"/>
    </row>
    <row r="48" spans="1:14" ht="15.75" thickBot="1" x14ac:dyDescent="0.3">
      <c r="A48" s="158" t="s">
        <v>9</v>
      </c>
      <c r="B48" s="168">
        <f t="shared" ref="B48" si="4">B42</f>
        <v>9008529.5</v>
      </c>
      <c r="C48" s="159">
        <f t="shared" ref="C48" si="5">C42</f>
        <v>71379.549999999988</v>
      </c>
      <c r="D48" s="159">
        <f t="shared" ref="D48:H48" si="6">D42</f>
        <v>0</v>
      </c>
      <c r="E48" s="159">
        <f t="shared" si="6"/>
        <v>5012119.08</v>
      </c>
      <c r="F48" s="160">
        <f t="shared" si="6"/>
        <v>-1141363</v>
      </c>
      <c r="G48" s="172">
        <f t="shared" si="6"/>
        <v>8065041.0499999998</v>
      </c>
      <c r="H48" s="161">
        <f t="shared" si="6"/>
        <v>8662428</v>
      </c>
      <c r="I48" s="152"/>
      <c r="J48" s="4"/>
      <c r="L48" s="12"/>
    </row>
    <row r="49" spans="1:11" ht="15.75" thickBot="1" x14ac:dyDescent="0.3">
      <c r="A49" s="162"/>
      <c r="B49" s="163"/>
      <c r="C49" s="163"/>
      <c r="D49" s="163"/>
      <c r="E49" s="163"/>
      <c r="F49" s="163"/>
      <c r="G49" s="164"/>
      <c r="H49" s="164"/>
      <c r="I49" s="152"/>
      <c r="J49" s="4"/>
    </row>
    <row r="50" spans="1:11" ht="15.75" thickBot="1" x14ac:dyDescent="0.3">
      <c r="A50" s="165" t="s">
        <v>12</v>
      </c>
      <c r="B50" s="169">
        <f>B47-B48</f>
        <v>-1482294.6550000003</v>
      </c>
      <c r="C50" s="17"/>
      <c r="D50" s="17"/>
      <c r="E50" s="59">
        <f>E47-E48</f>
        <v>-2301661.2999999998</v>
      </c>
      <c r="F50" s="17"/>
      <c r="G50" s="173">
        <f>G47-G48</f>
        <v>-3269979.5</v>
      </c>
      <c r="H50" s="107">
        <f>H47-H48</f>
        <v>-1601791</v>
      </c>
      <c r="I50" s="106" t="s">
        <v>63</v>
      </c>
      <c r="K50" s="22"/>
    </row>
    <row r="51" spans="1:11" ht="15.75" thickBot="1" x14ac:dyDescent="0.3">
      <c r="A51" s="15" t="s">
        <v>14</v>
      </c>
      <c r="B51" s="163"/>
      <c r="C51" s="163"/>
      <c r="D51" s="163"/>
      <c r="E51" s="163"/>
      <c r="F51" s="163"/>
      <c r="G51" s="164"/>
      <c r="H51" s="164"/>
      <c r="I51" s="174"/>
      <c r="K51" s="40"/>
    </row>
    <row r="52" spans="1:11" x14ac:dyDescent="0.25">
      <c r="A52" s="154" t="s">
        <v>60</v>
      </c>
      <c r="B52" s="170">
        <v>5267605</v>
      </c>
      <c r="C52" s="14"/>
      <c r="D52" s="14"/>
      <c r="E52" s="14">
        <f>B52</f>
        <v>5267605</v>
      </c>
      <c r="F52" s="14"/>
      <c r="G52" s="14">
        <f>B52</f>
        <v>5267605</v>
      </c>
      <c r="H52" s="108">
        <f>G53</f>
        <v>1997625.5</v>
      </c>
      <c r="I52" s="174"/>
      <c r="K52" s="40"/>
    </row>
    <row r="53" spans="1:11" ht="15.75" thickBot="1" x14ac:dyDescent="0.3">
      <c r="A53" s="158" t="s">
        <v>59</v>
      </c>
      <c r="B53" s="110">
        <f>B52+B50</f>
        <v>3785310.3449999997</v>
      </c>
      <c r="C53" s="13"/>
      <c r="D53" s="13"/>
      <c r="E53" s="110">
        <f>E52+E50</f>
        <v>2965943.7</v>
      </c>
      <c r="F53" s="13"/>
      <c r="G53" s="110">
        <f>G52+G50</f>
        <v>1997625.5</v>
      </c>
      <c r="H53" s="109">
        <f>H52+H50</f>
        <v>395834.5</v>
      </c>
      <c r="I53" s="174"/>
      <c r="K53" s="40"/>
    </row>
    <row r="54" spans="1:11" x14ac:dyDescent="0.25">
      <c r="A54" s="151"/>
      <c r="B54" s="152"/>
      <c r="C54" s="151"/>
      <c r="D54" s="151"/>
      <c r="E54" s="151"/>
      <c r="F54" s="151"/>
      <c r="G54" s="151"/>
      <c r="H54" s="151"/>
      <c r="I54" s="120">
        <v>2878976</v>
      </c>
      <c r="K54" s="40"/>
    </row>
    <row r="55" spans="1:11" x14ac:dyDescent="0.25">
      <c r="A55" s="151"/>
      <c r="B55" s="152"/>
      <c r="C55" s="151"/>
      <c r="D55" s="151"/>
      <c r="E55" s="151"/>
      <c r="F55" s="151"/>
      <c r="G55" s="151"/>
      <c r="H55" s="151"/>
      <c r="I55" s="49"/>
      <c r="K55" s="40"/>
    </row>
    <row r="56" spans="1:11" ht="15.75" x14ac:dyDescent="0.25">
      <c r="A56" s="166" t="s">
        <v>64</v>
      </c>
      <c r="B56" s="152"/>
      <c r="C56" s="151"/>
      <c r="D56" s="151"/>
      <c r="E56" s="151"/>
      <c r="F56" s="151"/>
      <c r="G56" s="151"/>
      <c r="H56" s="151"/>
      <c r="I56" s="151"/>
    </row>
  </sheetData>
  <pageMargins left="0.7" right="0.7" top="0.75" bottom="0.75" header="0.3" footer="0.3"/>
  <pageSetup paperSize="9" scale="54" orientation="landscape" r:id="rId1"/>
  <ignoredErrors>
    <ignoredError sqref="G32 G16 G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 č.3_2021 + návrh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2021-11-22T15:52:51Z</dcterms:modified>
</cp:coreProperties>
</file>