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8_{E9D05AC9-8749-4D1C-825E-713385AFC830}" xr6:coauthVersionLast="45" xr6:coauthVersionMax="45" xr10:uidLastSave="{00000000-0000-0000-0000-000000000000}"/>
  <bookViews>
    <workbookView xWindow="2505" yWindow="2505" windowWidth="21600" windowHeight="11385" xr2:uid="{00000000-000D-0000-FFFF-FFFF00000000}"/>
  </bookViews>
  <sheets>
    <sheet name="NÁVRH RO č.4 + rozpočtu_2021" sheetId="5" r:id="rId1"/>
  </sheets>
  <calcPr calcId="191029"/>
</workbook>
</file>

<file path=xl/calcChain.xml><?xml version="1.0" encoding="utf-8"?>
<calcChain xmlns="http://schemas.openxmlformats.org/spreadsheetml/2006/main">
  <c r="G38" i="5" l="1"/>
  <c r="F47" i="5"/>
  <c r="E47" i="5" s="1"/>
  <c r="G48" i="5"/>
  <c r="G49" i="5"/>
  <c r="F42" i="5"/>
  <c r="D42" i="5" l="1"/>
  <c r="E46" i="5"/>
  <c r="E40" i="5"/>
  <c r="F38" i="5"/>
  <c r="E38" i="5" s="1"/>
  <c r="D38" i="5"/>
  <c r="G42" i="5"/>
  <c r="G43" i="5"/>
  <c r="G14" i="5" l="1"/>
  <c r="E50" i="5" l="1"/>
  <c r="E51" i="5"/>
  <c r="E39" i="5"/>
  <c r="E37" i="5"/>
  <c r="F27" i="5"/>
  <c r="E25" i="5"/>
  <c r="E9" i="5"/>
  <c r="E14" i="5"/>
  <c r="E11" i="5"/>
  <c r="D11" i="5"/>
  <c r="E53" i="5" l="1"/>
  <c r="E59" i="5" s="1"/>
  <c r="D63" i="5" l="1"/>
  <c r="D53" i="5"/>
  <c r="D59" i="5" s="1"/>
  <c r="D22" i="5"/>
  <c r="D58" i="5" l="1"/>
  <c r="D61" i="5" s="1"/>
  <c r="D64" i="5" s="1"/>
  <c r="D55" i="5"/>
  <c r="C63" i="5"/>
  <c r="E63" i="5" s="1"/>
  <c r="G50" i="5"/>
  <c r="C53" i="5" l="1"/>
  <c r="C59" i="5" s="1"/>
  <c r="G34" i="5"/>
  <c r="G32" i="5"/>
  <c r="C22" i="5"/>
  <c r="C58" i="5" s="1"/>
  <c r="G15" i="5"/>
  <c r="F13" i="5"/>
  <c r="E13" i="5" s="1"/>
  <c r="E22" i="5" s="1"/>
  <c r="G16" i="5"/>
  <c r="G12" i="5"/>
  <c r="E55" i="5" l="1"/>
  <c r="E58" i="5"/>
  <c r="E61" i="5" s="1"/>
  <c r="E64" i="5" s="1"/>
  <c r="C61" i="5"/>
  <c r="C64" i="5" s="1"/>
  <c r="C55" i="5"/>
  <c r="H65" i="5" l="1"/>
  <c r="F63" i="5" l="1"/>
  <c r="B53" i="5"/>
  <c r="B59" i="5" s="1"/>
  <c r="B22" i="5"/>
  <c r="B58" i="5" s="1"/>
  <c r="F22" i="5"/>
  <c r="F58" i="5" s="1"/>
  <c r="G53" i="5" l="1"/>
  <c r="G59" i="5" s="1"/>
  <c r="F53" i="5"/>
  <c r="G22" i="5"/>
  <c r="G58" i="5" s="1"/>
  <c r="B61" i="5"/>
  <c r="B55" i="5"/>
  <c r="F55" i="5" l="1"/>
  <c r="F59" i="5"/>
  <c r="F61" i="5" s="1"/>
  <c r="F64" i="5" s="1"/>
  <c r="G63" i="5" s="1"/>
  <c r="G61" i="5"/>
  <c r="G55" i="5"/>
  <c r="G64" i="5" l="1"/>
</calcChain>
</file>

<file path=xl/sharedStrings.xml><?xml version="1.0" encoding="utf-8"?>
<sst xmlns="http://schemas.openxmlformats.org/spreadsheetml/2006/main" count="111" uniqueCount="95">
  <si>
    <t>Příjmy</t>
  </si>
  <si>
    <t>Částka Kč</t>
  </si>
  <si>
    <t>Poznámka</t>
  </si>
  <si>
    <t>Členské příspěvky</t>
  </si>
  <si>
    <t>Příjmy z úroků</t>
  </si>
  <si>
    <t xml:space="preserve">Příjmy celkem </t>
  </si>
  <si>
    <t>Výdaje</t>
  </si>
  <si>
    <t>Bankovní poplatky</t>
  </si>
  <si>
    <t>Profesionalizace svazku</t>
  </si>
  <si>
    <t>Webové stránky SOHL</t>
  </si>
  <si>
    <t xml:space="preserve">Pronájem PC a vybavení </t>
  </si>
  <si>
    <t xml:space="preserve">Pronájem nebyt. prostor </t>
  </si>
  <si>
    <t>Zákonné pojištění z mezd</t>
  </si>
  <si>
    <t>Výdaje celkem</t>
  </si>
  <si>
    <t xml:space="preserve">Výsledek </t>
  </si>
  <si>
    <t>Příjmy celkem</t>
  </si>
  <si>
    <t>Rozdíl příjmů a výdajů</t>
  </si>
  <si>
    <t>500 Kč x 12 měs.</t>
  </si>
  <si>
    <t>školení, tel., tonery, kanc.potřeby, atd.</t>
  </si>
  <si>
    <t>Pronájem vozu</t>
  </si>
  <si>
    <t>Hospodářská činnost</t>
  </si>
  <si>
    <t>Financování</t>
  </si>
  <si>
    <t>Propagace svazku - paušál</t>
  </si>
  <si>
    <t>Příspěvek financování projektu lyž.běž.tratí</t>
  </si>
  <si>
    <t>Služby k nájmu (vodné, stočné, energie, tel.poplatky)</t>
  </si>
  <si>
    <t>PC programy poplatky, audit, atd.</t>
  </si>
  <si>
    <t>dotace KHK</t>
  </si>
  <si>
    <t>Rekapitulace</t>
  </si>
  <si>
    <t>Poznámky:</t>
  </si>
  <si>
    <t>SMO dotace 100% na 2,1 úvazku (3 měsíce)</t>
  </si>
  <si>
    <t>PS - dotace OPZ</t>
  </si>
  <si>
    <t>PS - spoluúčast od obcí 5%</t>
  </si>
  <si>
    <t>MAP II</t>
  </si>
  <si>
    <t>Mzda asistentka</t>
  </si>
  <si>
    <t>Mzda účetní</t>
  </si>
  <si>
    <t>propagační mat., občerstvení účast.setkání, cestovné, školení…</t>
  </si>
  <si>
    <t>Svazek obcí Horní Labe, Hostinné</t>
  </si>
  <si>
    <t>MAP II - spoluúčast 5%</t>
  </si>
  <si>
    <t>2021 - nový projekt SMO ČR PRLEK</t>
  </si>
  <si>
    <t>Schválený rozpočet 2020</t>
  </si>
  <si>
    <t>Předpoklad do konce 2020</t>
  </si>
  <si>
    <t>Návrh 2021</t>
  </si>
  <si>
    <t>Právní služby ( vč. pověřenec GDPR)</t>
  </si>
  <si>
    <t>1 100 za OÚ + 250 za PO / měsíc / obec</t>
  </si>
  <si>
    <t>MAP II - 2x ŽOP (95%)</t>
  </si>
  <si>
    <t>MAP II - 2x ŽOP (5%)</t>
  </si>
  <si>
    <t>SMO dotace 95% na 1 úvazek (4 měsíce)</t>
  </si>
  <si>
    <t>Lyžařské trasy 2020/2021</t>
  </si>
  <si>
    <t>Zvýšení atraktvivity LBT pod Černou h. (LK) 2020</t>
  </si>
  <si>
    <t>Upravený rozpočet 2020</t>
  </si>
  <si>
    <t>Oprava auta</t>
  </si>
  <si>
    <t>Oprava auta (příjem z pojistky)</t>
  </si>
  <si>
    <t>(485*12)</t>
  </si>
  <si>
    <t>vyúčt. za 2. prodloužení bude k 28.2.2021 (maximálně)</t>
  </si>
  <si>
    <t>SOHL mzdy</t>
  </si>
  <si>
    <t>PS (přemýšlíme strategicky) mzdy smlouva</t>
  </si>
  <si>
    <t>PS (přemýšlíme strategicky) paušál</t>
  </si>
  <si>
    <t>PS (přemýšlíme strategicky) služby</t>
  </si>
  <si>
    <t>zpracované dokumenty</t>
  </si>
  <si>
    <t>MAP III</t>
  </si>
  <si>
    <t>žádost o dotaci MPSV; projekt za cca 2.100.tis Kč (5% spoluúčast cca 105.tis Kč)</t>
  </si>
  <si>
    <t>Přebytek z předcházejícího roku (2019/2020)</t>
  </si>
  <si>
    <t>Předpokl. zůstatek na konci roku (2020/2021)</t>
  </si>
  <si>
    <t>Schvál. rozp. 2020</t>
  </si>
  <si>
    <t>500 Kč x 12 měs.+ 3.000*12 (z MAP II)</t>
  </si>
  <si>
    <t>Stav k 31.10.2020</t>
  </si>
  <si>
    <t>k 18.11.2020 je na účtech</t>
  </si>
  <si>
    <t>Návrh RO č.4</t>
  </si>
  <si>
    <t xml:space="preserve">CSS mzda 4-8/2020 (2. prodloužení projektu) </t>
  </si>
  <si>
    <t>CSS mzdy 9-12/2020 (2. prodloužení projektu)</t>
  </si>
  <si>
    <t>CSS mzdy 4.Q. 2019 (1. prodloužení projektu)</t>
  </si>
  <si>
    <t>SMO dotace 95% na 1 úvazek (5 měsíců) (ne na 6 jak bylo původně)</t>
  </si>
  <si>
    <t>Lyžařské trasy 2018/2019</t>
  </si>
  <si>
    <t>Profesionalizace svazku 2020</t>
  </si>
  <si>
    <t>nové webové stránky SOHL, aktualizace mapy LBT a značení LBT</t>
  </si>
  <si>
    <t>od TJ a obcí (17.000 na KHK dotaci a 95.677  na LK dotaci)</t>
  </si>
  <si>
    <t>CSS mzdy 12/2019; 1-2/2020 (udržitelnost)</t>
  </si>
  <si>
    <t>CSS mzdy 2020 (2.prodloužení)</t>
  </si>
  <si>
    <t>CSS spoluúčast (od 2016 do 1.prodloužení)</t>
  </si>
  <si>
    <t>CSS spoluúčast (2.prodloužení)</t>
  </si>
  <si>
    <t>mzda 1 úvazek (8 měsíců 2020/ 1 měsíc 2021)</t>
  </si>
  <si>
    <t xml:space="preserve">J.H. + od 8/2020 J.J. 2020 / J.H. + J.J. + E.S 2021 </t>
  </si>
  <si>
    <t>mzda 2,1 úvazku</t>
  </si>
  <si>
    <t>PS (přemýšlíme strategicky) mzdy PN</t>
  </si>
  <si>
    <t>MAP II paušál</t>
  </si>
  <si>
    <t>MAP II mzdy (externisté, experti)</t>
  </si>
  <si>
    <t xml:space="preserve">MAP II mzdy </t>
  </si>
  <si>
    <t>PS (přemýšlíme strategicky) mzdy NN</t>
  </si>
  <si>
    <t>odborný gestor 2x 0,5 úvazku</t>
  </si>
  <si>
    <t>mzdové náklady na 1,5 úvazku (rok 2020)</t>
  </si>
  <si>
    <t>mzdové náklady účetní, organizátor vzdělávání, manažer 0,5 úvazku</t>
  </si>
  <si>
    <t>DRAG, VZ administr., notebook, občerstvení, kanc.potřeby, cestovné...</t>
  </si>
  <si>
    <t>ROZPOČTOVÉ OPATŘENÍ č.4/2020  + ROZPOČET PRO ROK 2021</t>
  </si>
  <si>
    <t>Rozpočtové opatření č.4/2020 schváleno výkonnou radou Svazku obcí Horní Labe dne 8.12.2020 usnesením č. 4/81/20.</t>
  </si>
  <si>
    <t>Rozpočet pro rok 2021 schválen výkonnou radou Svazku obcí Horní Labe dne 8.12.2020 usnesením č. 6/81/20.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</si>
</sst>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 tint="-0.499984740745262"/>
      <name val="Calibri"/>
      <family val="2"/>
      <scheme val="minor"/>
    </font>
    <font>
      <b/>
      <sz val="11"/>
      <color rgb="FFFF0000"/>
      <name val="Arial"/>
      <family val="2"/>
      <charset val="238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i/>
      <sz val="11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7030A0"/>
      <name val="Arial"/>
      <family val="2"/>
      <charset val="238"/>
    </font>
    <font>
      <i/>
      <sz val="11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2" borderId="5" xfId="0" applyFont="1" applyFill="1" applyBorder="1"/>
    <xf numFmtId="0" fontId="0" fillId="2" borderId="0" xfId="0" applyFont="1" applyFill="1" applyBorder="1"/>
    <xf numFmtId="3" fontId="0" fillId="2" borderId="0" xfId="0" applyNumberFormat="1" applyFont="1" applyFill="1" applyBorder="1"/>
    <xf numFmtId="0" fontId="0" fillId="0" borderId="0" xfId="0" applyFill="1"/>
    <xf numFmtId="0" fontId="7" fillId="3" borderId="2" xfId="0" applyFont="1" applyFill="1" applyBorder="1"/>
    <xf numFmtId="0" fontId="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/>
    <xf numFmtId="3" fontId="10" fillId="0" borderId="0" xfId="0" applyNumberFormat="1" applyFont="1" applyFill="1" applyBorder="1"/>
    <xf numFmtId="3" fontId="0" fillId="0" borderId="0" xfId="0" applyNumberFormat="1"/>
    <xf numFmtId="164" fontId="10" fillId="0" borderId="9" xfId="0" applyNumberFormat="1" applyFont="1" applyBorder="1" applyAlignment="1">
      <alignment horizontal="right"/>
    </xf>
    <xf numFmtId="164" fontId="16" fillId="0" borderId="13" xfId="0" applyNumberFormat="1" applyFont="1" applyFill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6" fillId="0" borderId="12" xfId="0" applyNumberFormat="1" applyFont="1" applyFill="1" applyBorder="1" applyAlignment="1">
      <alignment horizontal="right"/>
    </xf>
    <xf numFmtId="164" fontId="0" fillId="5" borderId="0" xfId="0" applyNumberFormat="1" applyFont="1" applyFill="1" applyBorder="1" applyAlignment="1">
      <alignment horizontal="right"/>
    </xf>
    <xf numFmtId="164" fontId="17" fillId="5" borderId="6" xfId="0" applyNumberFormat="1" applyFont="1" applyFill="1" applyBorder="1" applyAlignment="1">
      <alignment horizontal="right"/>
    </xf>
    <xf numFmtId="0" fontId="0" fillId="5" borderId="5" xfId="0" applyFont="1" applyFill="1" applyBorder="1"/>
    <xf numFmtId="0" fontId="20" fillId="5" borderId="5" xfId="0" applyFont="1" applyFill="1" applyBorder="1"/>
    <xf numFmtId="0" fontId="21" fillId="0" borderId="0" xfId="0" applyFont="1" applyFill="1"/>
    <xf numFmtId="0" fontId="22" fillId="0" borderId="0" xfId="0" applyFont="1" applyFill="1"/>
    <xf numFmtId="164" fontId="17" fillId="6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164" fontId="16" fillId="0" borderId="4" xfId="0" applyNumberFormat="1" applyFont="1" applyBorder="1" applyAlignment="1">
      <alignment horizontal="right"/>
    </xf>
    <xf numFmtId="3" fontId="9" fillId="3" borderId="14" xfId="0" applyNumberFormat="1" applyFont="1" applyFill="1" applyBorder="1"/>
    <xf numFmtId="0" fontId="19" fillId="0" borderId="0" xfId="0" applyFont="1"/>
    <xf numFmtId="0" fontId="23" fillId="0" borderId="0" xfId="0" applyFont="1"/>
    <xf numFmtId="0" fontId="0" fillId="0" borderId="0" xfId="0" applyBorder="1"/>
    <xf numFmtId="0" fontId="28" fillId="0" borderId="0" xfId="0" applyFont="1"/>
    <xf numFmtId="0" fontId="7" fillId="3" borderId="4" xfId="0" applyFont="1" applyFill="1" applyBorder="1" applyAlignment="1"/>
    <xf numFmtId="0" fontId="5" fillId="7" borderId="0" xfId="0" applyFont="1" applyFill="1" applyAlignment="1">
      <alignment horizontal="right"/>
    </xf>
    <xf numFmtId="164" fontId="0" fillId="7" borderId="0" xfId="0" applyNumberFormat="1" applyFill="1" applyAlignment="1">
      <alignment horizontal="right"/>
    </xf>
    <xf numFmtId="164" fontId="5" fillId="7" borderId="20" xfId="0" applyNumberFormat="1" applyFont="1" applyFill="1" applyBorder="1" applyAlignment="1">
      <alignment horizontal="right"/>
    </xf>
    <xf numFmtId="0" fontId="2" fillId="0" borderId="22" xfId="0" applyFont="1" applyBorder="1"/>
    <xf numFmtId="0" fontId="2" fillId="0" borderId="23" xfId="0" applyFont="1" applyBorder="1"/>
    <xf numFmtId="0" fontId="29" fillId="5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0" fontId="2" fillId="0" borderId="2" xfId="0" applyFont="1" applyBorder="1"/>
    <xf numFmtId="164" fontId="13" fillId="0" borderId="14" xfId="0" applyNumberFormat="1" applyFont="1" applyBorder="1" applyAlignment="1">
      <alignment horizontal="right"/>
    </xf>
    <xf numFmtId="164" fontId="5" fillId="0" borderId="25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0" fontId="30" fillId="6" borderId="14" xfId="0" applyFont="1" applyFill="1" applyBorder="1" applyAlignment="1">
      <alignment horizontal="center" vertical="center" wrapText="1"/>
    </xf>
    <xf numFmtId="0" fontId="30" fillId="2" borderId="14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31" fillId="6" borderId="14" xfId="0" applyFont="1" applyFill="1" applyBorder="1" applyAlignment="1">
      <alignment horizontal="center" vertical="center"/>
    </xf>
    <xf numFmtId="0" fontId="31" fillId="6" borderId="14" xfId="0" applyFont="1" applyFill="1" applyBorder="1" applyAlignment="1">
      <alignment horizontal="center" vertical="center" wrapText="1"/>
    </xf>
    <xf numFmtId="3" fontId="6" fillId="6" borderId="14" xfId="0" applyNumberFormat="1" applyFont="1" applyFill="1" applyBorder="1" applyAlignment="1">
      <alignment horizontal="right"/>
    </xf>
    <xf numFmtId="0" fontId="7" fillId="4" borderId="2" xfId="0" applyFont="1" applyFill="1" applyBorder="1"/>
    <xf numFmtId="3" fontId="6" fillId="6" borderId="14" xfId="0" applyNumberFormat="1" applyFont="1" applyFill="1" applyBorder="1"/>
    <xf numFmtId="0" fontId="7" fillId="4" borderId="14" xfId="0" applyFont="1" applyFill="1" applyBorder="1" applyAlignment="1"/>
    <xf numFmtId="0" fontId="0" fillId="0" borderId="0" xfId="0" applyFill="1" applyBorder="1"/>
    <xf numFmtId="3" fontId="19" fillId="0" borderId="0" xfId="0" applyNumberFormat="1" applyFont="1" applyFill="1"/>
    <xf numFmtId="0" fontId="19" fillId="0" borderId="0" xfId="0" applyFont="1" applyFill="1"/>
    <xf numFmtId="0" fontId="4" fillId="0" borderId="0" xfId="0" applyFont="1" applyAlignment="1">
      <alignment horizontal="left" vertical="center"/>
    </xf>
    <xf numFmtId="0" fontId="29" fillId="2" borderId="15" xfId="0" applyFont="1" applyFill="1" applyBorder="1" applyAlignment="1">
      <alignment horizontal="center" vertical="center" wrapText="1"/>
    </xf>
    <xf numFmtId="3" fontId="6" fillId="4" borderId="15" xfId="0" applyNumberFormat="1" applyFont="1" applyFill="1" applyBorder="1"/>
    <xf numFmtId="0" fontId="31" fillId="0" borderId="0" xfId="0" applyFont="1" applyFill="1"/>
    <xf numFmtId="0" fontId="16" fillId="0" borderId="0" xfId="0" applyFont="1" applyFill="1"/>
    <xf numFmtId="0" fontId="24" fillId="0" borderId="0" xfId="0" applyFont="1" applyFill="1"/>
    <xf numFmtId="3" fontId="10" fillId="0" borderId="0" xfId="0" applyNumberFormat="1" applyFont="1" applyFill="1"/>
    <xf numFmtId="0" fontId="32" fillId="0" borderId="0" xfId="0" applyFont="1" applyFill="1"/>
    <xf numFmtId="0" fontId="32" fillId="0" borderId="0" xfId="0" applyFont="1" applyFill="1" applyBorder="1"/>
    <xf numFmtId="0" fontId="10" fillId="0" borderId="0" xfId="0" applyFont="1" applyFill="1" applyBorder="1"/>
    <xf numFmtId="3" fontId="16" fillId="0" borderId="0" xfId="0" applyNumberFormat="1" applyFont="1" applyFill="1"/>
    <xf numFmtId="0" fontId="33" fillId="0" borderId="0" xfId="0" applyFont="1" applyFill="1"/>
    <xf numFmtId="0" fontId="29" fillId="5" borderId="3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3" fontId="14" fillId="6" borderId="17" xfId="0" applyNumberFormat="1" applyFont="1" applyFill="1" applyBorder="1"/>
    <xf numFmtId="3" fontId="14" fillId="6" borderId="16" xfId="0" applyNumberFormat="1" applyFont="1" applyFill="1" applyBorder="1"/>
    <xf numFmtId="0" fontId="1" fillId="0" borderId="22" xfId="0" applyFont="1" applyBorder="1"/>
    <xf numFmtId="0" fontId="1" fillId="0" borderId="23" xfId="0" applyFont="1" applyBorder="1"/>
    <xf numFmtId="0" fontId="5" fillId="5" borderId="21" xfId="0" applyFont="1" applyFill="1" applyBorder="1" applyAlignment="1">
      <alignment vertical="center"/>
    </xf>
    <xf numFmtId="3" fontId="14" fillId="6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9" fillId="2" borderId="14" xfId="0" applyFont="1" applyFill="1" applyBorder="1" applyAlignment="1">
      <alignment horizontal="center" vertical="center" wrapText="1"/>
    </xf>
    <xf numFmtId="3" fontId="7" fillId="4" borderId="14" xfId="0" applyNumberFormat="1" applyFont="1" applyFill="1" applyBorder="1"/>
    <xf numFmtId="3" fontId="6" fillId="4" borderId="14" xfId="0" applyNumberFormat="1" applyFont="1" applyFill="1" applyBorder="1"/>
    <xf numFmtId="3" fontId="14" fillId="6" borderId="17" xfId="0" applyNumberFormat="1" applyFont="1" applyFill="1" applyBorder="1" applyAlignment="1">
      <alignment horizontal="right"/>
    </xf>
    <xf numFmtId="0" fontId="14" fillId="0" borderId="11" xfId="0" applyFont="1" applyFill="1" applyBorder="1"/>
    <xf numFmtId="3" fontId="14" fillId="0" borderId="17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14" fillId="0" borderId="17" xfId="0" applyNumberFormat="1" applyFont="1" applyFill="1" applyBorder="1"/>
    <xf numFmtId="3" fontId="14" fillId="0" borderId="16" xfId="0" applyNumberFormat="1" applyFont="1" applyFill="1" applyBorder="1"/>
    <xf numFmtId="0" fontId="14" fillId="0" borderId="29" xfId="0" applyFont="1" applyFill="1" applyBorder="1"/>
    <xf numFmtId="3" fontId="6" fillId="3" borderId="14" xfId="0" applyNumberFormat="1" applyFont="1" applyFill="1" applyBorder="1"/>
    <xf numFmtId="3" fontId="6" fillId="3" borderId="3" xfId="0" applyNumberFormat="1" applyFont="1" applyFill="1" applyBorder="1"/>
    <xf numFmtId="0" fontId="4" fillId="0" borderId="0" xfId="0" applyFont="1" applyAlignment="1">
      <alignment horizontal="left" vertical="center"/>
    </xf>
    <xf numFmtId="0" fontId="14" fillId="0" borderId="26" xfId="0" applyFont="1" applyFill="1" applyBorder="1"/>
    <xf numFmtId="164" fontId="13" fillId="0" borderId="4" xfId="0" applyNumberFormat="1" applyFont="1" applyBorder="1" applyAlignment="1">
      <alignment horizontal="right"/>
    </xf>
    <xf numFmtId="0" fontId="14" fillId="0" borderId="26" xfId="0" applyFont="1" applyFill="1" applyBorder="1" applyAlignment="1">
      <alignment horizontal="justify"/>
    </xf>
    <xf numFmtId="3" fontId="14" fillId="0" borderId="27" xfId="0" applyNumberFormat="1" applyFont="1" applyFill="1" applyBorder="1" applyAlignment="1">
      <alignment horizontal="right"/>
    </xf>
    <xf numFmtId="3" fontId="14" fillId="0" borderId="28" xfId="0" applyNumberFormat="1" applyFont="1" applyFill="1" applyBorder="1" applyAlignment="1">
      <alignment horizontal="right"/>
    </xf>
    <xf numFmtId="0" fontId="14" fillId="0" borderId="17" xfId="0" applyFont="1" applyFill="1" applyBorder="1" applyAlignment="1"/>
    <xf numFmtId="3" fontId="14" fillId="0" borderId="0" xfId="0" applyNumberFormat="1" applyFont="1" applyFill="1" applyBorder="1" applyAlignment="1">
      <alignment horizontal="right"/>
    </xf>
    <xf numFmtId="0" fontId="34" fillId="7" borderId="4" xfId="0" applyFont="1" applyFill="1" applyBorder="1" applyAlignment="1">
      <alignment horizontal="center" vertical="center" wrapText="1"/>
    </xf>
    <xf numFmtId="3" fontId="14" fillId="7" borderId="8" xfId="0" applyNumberFormat="1" applyFont="1" applyFill="1" applyBorder="1" applyAlignment="1">
      <alignment horizontal="right"/>
    </xf>
    <xf numFmtId="3" fontId="14" fillId="7" borderId="9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3" fontId="6" fillId="7" borderId="4" xfId="0" applyNumberFormat="1" applyFont="1" applyFill="1" applyBorder="1" applyAlignment="1">
      <alignment horizontal="right"/>
    </xf>
    <xf numFmtId="0" fontId="36" fillId="8" borderId="15" xfId="0" applyFont="1" applyFill="1" applyBorder="1" applyAlignment="1">
      <alignment horizontal="center" vertical="center" wrapText="1"/>
    </xf>
    <xf numFmtId="3" fontId="37" fillId="8" borderId="15" xfId="0" applyNumberFormat="1" applyFont="1" applyFill="1" applyBorder="1" applyAlignment="1">
      <alignment horizontal="right"/>
    </xf>
    <xf numFmtId="0" fontId="31" fillId="7" borderId="4" xfId="0" applyFont="1" applyFill="1" applyBorder="1" applyAlignment="1">
      <alignment horizontal="center" vertical="center"/>
    </xf>
    <xf numFmtId="3" fontId="14" fillId="7" borderId="8" xfId="0" applyNumberFormat="1" applyFont="1" applyFill="1" applyBorder="1"/>
    <xf numFmtId="3" fontId="14" fillId="7" borderId="9" xfId="0" applyNumberFormat="1" applyFont="1" applyFill="1" applyBorder="1"/>
    <xf numFmtId="3" fontId="14" fillId="7" borderId="1" xfId="0" applyNumberFormat="1" applyFont="1" applyFill="1" applyBorder="1"/>
    <xf numFmtId="3" fontId="14" fillId="7" borderId="7" xfId="0" applyNumberFormat="1" applyFont="1" applyFill="1" applyBorder="1"/>
    <xf numFmtId="3" fontId="14" fillId="7" borderId="20" xfId="0" applyNumberFormat="1" applyFont="1" applyFill="1" applyBorder="1"/>
    <xf numFmtId="3" fontId="6" fillId="7" borderId="4" xfId="0" applyNumberFormat="1" applyFont="1" applyFill="1" applyBorder="1"/>
    <xf numFmtId="0" fontId="35" fillId="8" borderId="15" xfId="0" applyFont="1" applyFill="1" applyBorder="1" applyAlignment="1">
      <alignment horizontal="center" vertical="center"/>
    </xf>
    <xf numFmtId="3" fontId="37" fillId="8" borderId="15" xfId="0" applyNumberFormat="1" applyFont="1" applyFill="1" applyBorder="1"/>
    <xf numFmtId="3" fontId="18" fillId="8" borderId="10" xfId="0" applyNumberFormat="1" applyFont="1" applyFill="1" applyBorder="1" applyAlignment="1">
      <alignment horizontal="right"/>
    </xf>
    <xf numFmtId="3" fontId="37" fillId="8" borderId="14" xfId="0" applyNumberFormat="1" applyFont="1" applyFill="1" applyBorder="1"/>
    <xf numFmtId="0" fontId="29" fillId="8" borderId="15" xfId="0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64" fontId="17" fillId="7" borderId="6" xfId="0" applyNumberFormat="1" applyFont="1" applyFill="1" applyBorder="1" applyAlignment="1">
      <alignment horizontal="right"/>
    </xf>
    <xf numFmtId="164" fontId="17" fillId="8" borderId="6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14" fillId="0" borderId="11" xfId="0" applyFont="1" applyFill="1" applyBorder="1" applyAlignment="1">
      <alignment horizontal="justify"/>
    </xf>
    <xf numFmtId="0" fontId="14" fillId="0" borderId="16" xfId="0" applyFont="1" applyFill="1" applyBorder="1" applyAlignment="1"/>
    <xf numFmtId="0" fontId="26" fillId="0" borderId="17" xfId="0" applyFont="1" applyFill="1" applyBorder="1" applyAlignment="1"/>
    <xf numFmtId="0" fontId="14" fillId="0" borderId="19" xfId="0" applyFont="1" applyFill="1" applyBorder="1" applyAlignment="1"/>
    <xf numFmtId="3" fontId="14" fillId="6" borderId="17" xfId="0" applyNumberFormat="1" applyFont="1" applyFill="1" applyBorder="1" applyAlignment="1">
      <alignment horizontal="right" vertical="center"/>
    </xf>
    <xf numFmtId="3" fontId="14" fillId="7" borderId="17" xfId="0" applyNumberFormat="1" applyFont="1" applyFill="1" applyBorder="1" applyAlignment="1">
      <alignment horizontal="right" vertical="center"/>
    </xf>
    <xf numFmtId="164" fontId="19" fillId="0" borderId="9" xfId="0" applyNumberFormat="1" applyFont="1" applyBorder="1" applyAlignment="1">
      <alignment horizontal="right"/>
    </xf>
    <xf numFmtId="3" fontId="18" fillId="8" borderId="10" xfId="0" applyNumberFormat="1" applyFont="1" applyFill="1" applyBorder="1"/>
    <xf numFmtId="3" fontId="18" fillId="8" borderId="28" xfId="0" applyNumberFormat="1" applyFont="1" applyFill="1" applyBorder="1" applyAlignment="1">
      <alignment horizontal="right" vertical="center"/>
    </xf>
    <xf numFmtId="3" fontId="18" fillId="8" borderId="17" xfId="0" applyNumberFormat="1" applyFont="1" applyFill="1" applyBorder="1"/>
    <xf numFmtId="3" fontId="18" fillId="8" borderId="16" xfId="0" applyNumberFormat="1" applyFont="1" applyFill="1" applyBorder="1"/>
    <xf numFmtId="3" fontId="18" fillId="8" borderId="28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4" fillId="0" borderId="17" xfId="0" applyFont="1" applyFill="1" applyBorder="1" applyAlignment="1">
      <alignment vertical="center"/>
    </xf>
    <xf numFmtId="0" fontId="39" fillId="0" borderId="17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vertical="center" wrapText="1"/>
    </xf>
    <xf numFmtId="3" fontId="12" fillId="0" borderId="17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0" borderId="10" xfId="0" applyNumberFormat="1" applyFont="1" applyFill="1" applyBorder="1" applyAlignment="1">
      <alignment horizontal="right"/>
    </xf>
    <xf numFmtId="0" fontId="5" fillId="0" borderId="2" xfId="0" applyFont="1" applyFill="1" applyBorder="1"/>
    <xf numFmtId="3" fontId="7" fillId="0" borderId="14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5" fillId="0" borderId="14" xfId="0" applyFont="1" applyFill="1" applyBorder="1" applyAlignment="1"/>
    <xf numFmtId="0" fontId="0" fillId="0" borderId="5" xfId="0" applyFont="1" applyFill="1" applyBorder="1"/>
    <xf numFmtId="3" fontId="0" fillId="0" borderId="0" xfId="0" applyNumberFormat="1" applyFont="1" applyFill="1" applyBorder="1"/>
    <xf numFmtId="0" fontId="0" fillId="0" borderId="4" xfId="0" applyFont="1" applyFill="1" applyBorder="1"/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3" fontId="14" fillId="0" borderId="10" xfId="0" applyNumberFormat="1" applyFont="1" applyFill="1" applyBorder="1"/>
    <xf numFmtId="0" fontId="27" fillId="0" borderId="16" xfId="0" applyFont="1" applyFill="1" applyBorder="1" applyAlignment="1"/>
    <xf numFmtId="0" fontId="12" fillId="0" borderId="11" xfId="0" applyFont="1" applyFill="1" applyBorder="1" applyAlignment="1">
      <alignment horizontal="justify"/>
    </xf>
    <xf numFmtId="3" fontId="12" fillId="0" borderId="17" xfId="0" applyNumberFormat="1" applyFont="1" applyFill="1" applyBorder="1"/>
    <xf numFmtId="0" fontId="25" fillId="0" borderId="17" xfId="0" applyFont="1" applyFill="1" applyBorder="1" applyAlignment="1"/>
    <xf numFmtId="3" fontId="14" fillId="0" borderId="28" xfId="0" applyNumberFormat="1" applyFont="1" applyFill="1" applyBorder="1"/>
    <xf numFmtId="3" fontId="14" fillId="0" borderId="17" xfId="0" applyNumberFormat="1" applyFont="1" applyFill="1" applyBorder="1" applyAlignment="1"/>
    <xf numFmtId="0" fontId="14" fillId="0" borderId="5" xfId="0" applyFont="1" applyFill="1" applyBorder="1"/>
    <xf numFmtId="0" fontId="14" fillId="0" borderId="9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/>
    <xf numFmtId="0" fontId="14" fillId="0" borderId="9" xfId="0" applyFont="1" applyFill="1" applyBorder="1" applyAlignment="1"/>
    <xf numFmtId="0" fontId="14" fillId="0" borderId="9" xfId="0" applyFont="1" applyFill="1" applyBorder="1"/>
    <xf numFmtId="0" fontId="16" fillId="0" borderId="11" xfId="0" applyFont="1" applyFill="1" applyBorder="1"/>
    <xf numFmtId="0" fontId="27" fillId="0" borderId="9" xfId="0" applyFont="1" applyFill="1" applyBorder="1"/>
    <xf numFmtId="3" fontId="25" fillId="6" borderId="16" xfId="0" applyNumberFormat="1" applyFont="1" applyFill="1" applyBorder="1" applyAlignment="1">
      <alignment horizontal="right"/>
    </xf>
    <xf numFmtId="3" fontId="26" fillId="6" borderId="16" xfId="0" applyNumberFormat="1" applyFont="1" applyFill="1" applyBorder="1" applyAlignment="1">
      <alignment horizontal="right"/>
    </xf>
    <xf numFmtId="3" fontId="25" fillId="6" borderId="17" xfId="0" applyNumberFormat="1" applyFont="1" applyFill="1" applyBorder="1" applyAlignment="1">
      <alignment horizontal="right"/>
    </xf>
    <xf numFmtId="3" fontId="36" fillId="8" borderId="10" xfId="0" applyNumberFormat="1" applyFont="1" applyFill="1" applyBorder="1" applyAlignment="1">
      <alignment horizontal="right"/>
    </xf>
    <xf numFmtId="3" fontId="14" fillId="8" borderId="10" xfId="0" applyNumberFormat="1" applyFont="1" applyFill="1" applyBorder="1" applyAlignment="1">
      <alignment horizontal="right"/>
    </xf>
    <xf numFmtId="3" fontId="38" fillId="8" borderId="10" xfId="0" applyNumberFormat="1" applyFont="1" applyFill="1" applyBorder="1" applyAlignment="1">
      <alignment horizontal="right"/>
    </xf>
    <xf numFmtId="3" fontId="14" fillId="8" borderId="28" xfId="0" applyNumberFormat="1" applyFont="1" applyFill="1" applyBorder="1" applyAlignment="1">
      <alignment horizontal="right"/>
    </xf>
    <xf numFmtId="3" fontId="18" fillId="8" borderId="28" xfId="0" applyNumberFormat="1" applyFont="1" applyFill="1" applyBorder="1"/>
    <xf numFmtId="3" fontId="15" fillId="8" borderId="28" xfId="0" applyNumberFormat="1" applyFont="1" applyFill="1" applyBorder="1"/>
    <xf numFmtId="3" fontId="36" fillId="8" borderId="16" xfId="0" applyNumberFormat="1" applyFont="1" applyFill="1" applyBorder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1424940</xdr:colOff>
      <xdr:row>61</xdr:row>
      <xdr:rowOff>7620</xdr:rowOff>
    </xdr:from>
    <xdr:ext cx="1021080" cy="96012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EEF337DA-526B-4CF2-BCAF-48BB06B4E316}"/>
            </a:ext>
          </a:extLst>
        </xdr:cNvPr>
        <xdr:cNvSpPr txBox="1"/>
      </xdr:nvSpPr>
      <xdr:spPr>
        <a:xfrm>
          <a:off x="9974580" y="11681460"/>
          <a:ext cx="1021080" cy="960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/>
            <a:t>b.ú. ČS</a:t>
          </a:r>
        </a:p>
        <a:p>
          <a:r>
            <a:rPr lang="cs-CZ" sz="1100"/>
            <a:t>spořící ČS</a:t>
          </a:r>
        </a:p>
        <a:p>
          <a:r>
            <a:rPr lang="cs-CZ" sz="1100"/>
            <a:t>ČNB</a:t>
          </a:r>
        </a:p>
        <a:p>
          <a:r>
            <a:rPr lang="cs-CZ" sz="1100" b="1"/>
            <a:t>celkem</a:t>
          </a:r>
        </a:p>
      </xdr:txBody>
    </xdr:sp>
    <xdr:clientData/>
  </xdr:oneCellAnchor>
  <xdr:twoCellAnchor editAs="oneCell">
    <xdr:from>
      <xdr:col>7</xdr:col>
      <xdr:colOff>2910840</xdr:colOff>
      <xdr:row>0</xdr:row>
      <xdr:rowOff>122528</xdr:rowOff>
    </xdr:from>
    <xdr:to>
      <xdr:col>7</xdr:col>
      <xdr:colOff>3971925</xdr:colOff>
      <xdr:row>2</xdr:row>
      <xdr:rowOff>152399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1E64192-EF8E-4FDF-99AD-865E100C7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480" y="122528"/>
          <a:ext cx="1059180" cy="4794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C46D7-7C02-4069-B8DF-FA5C79365D0B}">
  <sheetPr>
    <pageSetUpPr fitToPage="1"/>
  </sheetPr>
  <dimension ref="A1:N68"/>
  <sheetViews>
    <sheetView tabSelected="1" zoomScaleNormal="100" workbookViewId="0">
      <selection activeCell="A69" sqref="A69"/>
    </sheetView>
  </sheetViews>
  <sheetFormatPr defaultRowHeight="15" x14ac:dyDescent="0.25"/>
  <cols>
    <col min="1" max="1" width="41.7109375" customWidth="1"/>
    <col min="2" max="2" width="13.5703125" customWidth="1"/>
    <col min="3" max="3" width="12.7109375" customWidth="1"/>
    <col min="4" max="4" width="13.5703125" customWidth="1"/>
    <col min="5" max="5" width="12.7109375" customWidth="1"/>
    <col min="6" max="6" width="13.5703125" customWidth="1"/>
    <col min="7" max="7" width="16.85546875" customWidth="1"/>
    <col min="8" max="8" width="58.5703125" customWidth="1"/>
    <col min="9" max="9" width="1.140625" customWidth="1"/>
    <col min="10" max="10" width="9.7109375" customWidth="1"/>
    <col min="13" max="13" width="7.5703125" customWidth="1"/>
  </cols>
  <sheetData>
    <row r="1" spans="1:11" ht="20.25" x14ac:dyDescent="0.25">
      <c r="A1" s="184" t="s">
        <v>36</v>
      </c>
      <c r="B1" s="185"/>
      <c r="C1" s="60"/>
      <c r="D1" s="80"/>
      <c r="E1" s="94"/>
      <c r="F1" s="28"/>
      <c r="G1" s="28"/>
    </row>
    <row r="3" spans="1:11" x14ac:dyDescent="0.25">
      <c r="A3" s="138" t="s">
        <v>92</v>
      </c>
      <c r="B3" s="139"/>
      <c r="C3" s="139"/>
      <c r="D3" s="139"/>
      <c r="E3" s="2"/>
      <c r="F3" s="2"/>
      <c r="G3" s="2"/>
      <c r="H3" s="1"/>
    </row>
    <row r="4" spans="1:11" ht="15.75" thickBot="1" x14ac:dyDescent="0.3">
      <c r="A4" s="3"/>
      <c r="B4" s="9"/>
      <c r="C4" s="9"/>
      <c r="D4" s="9"/>
      <c r="E4" s="9"/>
      <c r="F4" s="9"/>
      <c r="G4" s="9"/>
      <c r="H4" s="1"/>
    </row>
    <row r="5" spans="1:11" ht="27.6" customHeight="1" thickBot="1" x14ac:dyDescent="0.3">
      <c r="A5" s="50" t="s">
        <v>0</v>
      </c>
      <c r="B5" s="81" t="s">
        <v>39</v>
      </c>
      <c r="C5" s="81" t="s">
        <v>49</v>
      </c>
      <c r="D5" s="102" t="s">
        <v>65</v>
      </c>
      <c r="E5" s="107" t="s">
        <v>67</v>
      </c>
      <c r="F5" s="61" t="s">
        <v>40</v>
      </c>
      <c r="G5" s="48" t="s">
        <v>41</v>
      </c>
      <c r="H5" s="49" t="s">
        <v>2</v>
      </c>
      <c r="I5" s="33"/>
    </row>
    <row r="6" spans="1:11" s="12" customFormat="1" ht="14.45" customHeight="1" x14ac:dyDescent="0.25">
      <c r="A6" s="91" t="s">
        <v>3</v>
      </c>
      <c r="B6" s="87">
        <v>203130</v>
      </c>
      <c r="C6" s="87">
        <v>203234</v>
      </c>
      <c r="D6" s="103">
        <v>203234</v>
      </c>
      <c r="E6" s="177"/>
      <c r="F6" s="88">
        <v>203234</v>
      </c>
      <c r="G6" s="79">
        <v>203000</v>
      </c>
      <c r="H6" s="126"/>
    </row>
    <row r="7" spans="1:11" s="12" customFormat="1" ht="15" customHeight="1" x14ac:dyDescent="0.25">
      <c r="A7" s="91" t="s">
        <v>42</v>
      </c>
      <c r="B7" s="87">
        <v>211800</v>
      </c>
      <c r="C7" s="87">
        <v>211800</v>
      </c>
      <c r="D7" s="103">
        <v>211800</v>
      </c>
      <c r="E7" s="177"/>
      <c r="F7" s="88">
        <v>211800</v>
      </c>
      <c r="G7" s="79">
        <v>211800</v>
      </c>
      <c r="H7" s="100" t="s">
        <v>43</v>
      </c>
      <c r="I7" s="13"/>
      <c r="J7" s="11"/>
    </row>
    <row r="8" spans="1:11" s="7" customFormat="1" ht="14.45" customHeight="1" x14ac:dyDescent="0.25">
      <c r="A8" s="85" t="s">
        <v>4</v>
      </c>
      <c r="B8" s="86">
        <v>5000</v>
      </c>
      <c r="C8" s="87">
        <v>10000</v>
      </c>
      <c r="D8" s="103">
        <v>8885</v>
      </c>
      <c r="E8" s="177"/>
      <c r="F8" s="88">
        <v>10000</v>
      </c>
      <c r="G8" s="79">
        <v>10000</v>
      </c>
      <c r="H8" s="100"/>
      <c r="I8" s="11"/>
      <c r="J8" s="11"/>
    </row>
    <row r="9" spans="1:11" s="7" customFormat="1" x14ac:dyDescent="0.25">
      <c r="A9" s="95" t="s">
        <v>20</v>
      </c>
      <c r="B9" s="98">
        <v>20000</v>
      </c>
      <c r="C9" s="86">
        <v>150000</v>
      </c>
      <c r="D9" s="104">
        <v>116000</v>
      </c>
      <c r="E9" s="136">
        <f>F9-C9</f>
        <v>-1000</v>
      </c>
      <c r="F9" s="99">
        <v>149000</v>
      </c>
      <c r="G9" s="84">
        <v>80000</v>
      </c>
      <c r="H9" s="128"/>
      <c r="I9" s="11"/>
      <c r="J9" s="11"/>
    </row>
    <row r="10" spans="1:11" s="7" customFormat="1" x14ac:dyDescent="0.25">
      <c r="A10" s="85" t="s">
        <v>70</v>
      </c>
      <c r="B10" s="86">
        <v>74280</v>
      </c>
      <c r="C10" s="87">
        <v>74515</v>
      </c>
      <c r="D10" s="103">
        <v>74515</v>
      </c>
      <c r="E10" s="178"/>
      <c r="F10" s="88">
        <v>74515</v>
      </c>
      <c r="G10" s="79"/>
      <c r="H10" s="140" t="s">
        <v>29</v>
      </c>
      <c r="I10" s="11"/>
      <c r="J10" s="11"/>
    </row>
    <row r="11" spans="1:11" s="7" customFormat="1" x14ac:dyDescent="0.25">
      <c r="A11" s="85" t="s">
        <v>68</v>
      </c>
      <c r="B11" s="86">
        <v>0</v>
      </c>
      <c r="C11" s="87">
        <v>252900</v>
      </c>
      <c r="D11" s="103">
        <f>84300+126081</f>
        <v>210381</v>
      </c>
      <c r="E11" s="118">
        <f>F11-C11</f>
        <v>-42519</v>
      </c>
      <c r="F11" s="88">
        <v>210381</v>
      </c>
      <c r="G11" s="79"/>
      <c r="H11" s="140" t="s">
        <v>71</v>
      </c>
      <c r="I11" s="11"/>
      <c r="J11" s="11"/>
    </row>
    <row r="12" spans="1:11" s="7" customFormat="1" x14ac:dyDescent="0.25">
      <c r="A12" s="85" t="s">
        <v>69</v>
      </c>
      <c r="B12" s="86"/>
      <c r="C12" s="87"/>
      <c r="D12" s="103"/>
      <c r="E12" s="178"/>
      <c r="F12" s="88"/>
      <c r="G12" s="84">
        <f>42150*4</f>
        <v>168600</v>
      </c>
      <c r="H12" s="140" t="s">
        <v>46</v>
      </c>
      <c r="I12" s="11"/>
      <c r="J12" s="101"/>
    </row>
    <row r="13" spans="1:11" s="7" customFormat="1" x14ac:dyDescent="0.25">
      <c r="A13" s="85" t="s">
        <v>30</v>
      </c>
      <c r="B13" s="86">
        <v>0</v>
      </c>
      <c r="C13" s="87">
        <v>4065095</v>
      </c>
      <c r="D13" s="103">
        <v>2929898</v>
      </c>
      <c r="E13" s="118">
        <f>F13-C13</f>
        <v>-1135196.9980000001</v>
      </c>
      <c r="F13" s="88">
        <f>(2852698.05+231405.11)-(2852698.05+231405.11)*5%</f>
        <v>2929898.0019999999</v>
      </c>
      <c r="G13" s="79">
        <v>4015110</v>
      </c>
      <c r="H13" s="140"/>
      <c r="I13" s="11"/>
      <c r="J13" s="66"/>
    </row>
    <row r="14" spans="1:11" s="7" customFormat="1" x14ac:dyDescent="0.25">
      <c r="A14" s="85" t="s">
        <v>31</v>
      </c>
      <c r="B14" s="86">
        <v>0</v>
      </c>
      <c r="C14" s="87">
        <v>237725</v>
      </c>
      <c r="D14" s="103">
        <v>0</v>
      </c>
      <c r="E14" s="118">
        <f>F14-C14</f>
        <v>-237725</v>
      </c>
      <c r="F14" s="88">
        <v>0</v>
      </c>
      <c r="G14" s="79">
        <f>475449.69/2</f>
        <v>237724.845</v>
      </c>
      <c r="H14" s="141"/>
      <c r="J14" s="58"/>
      <c r="K14" s="59"/>
    </row>
    <row r="15" spans="1:11" s="12" customFormat="1" ht="15" customHeight="1" x14ac:dyDescent="0.25">
      <c r="A15" s="85" t="s">
        <v>32</v>
      </c>
      <c r="B15" s="86">
        <v>2470000</v>
      </c>
      <c r="C15" s="87">
        <v>2470000</v>
      </c>
      <c r="D15" s="103">
        <v>1235000</v>
      </c>
      <c r="E15" s="178"/>
      <c r="F15" s="88">
        <v>2470000</v>
      </c>
      <c r="G15" s="79">
        <f>(2*1300000)-(2*1300000)*5%</f>
        <v>2470000</v>
      </c>
      <c r="H15" s="142" t="s">
        <v>44</v>
      </c>
      <c r="I15" s="11"/>
      <c r="J15" s="66"/>
    </row>
    <row r="16" spans="1:11" s="12" customFormat="1" ht="15" customHeight="1" x14ac:dyDescent="0.25">
      <c r="A16" s="85" t="s">
        <v>37</v>
      </c>
      <c r="B16" s="86">
        <v>140000</v>
      </c>
      <c r="C16" s="86">
        <v>140000</v>
      </c>
      <c r="D16" s="104">
        <v>0</v>
      </c>
      <c r="E16" s="136"/>
      <c r="F16" s="99">
        <v>140000</v>
      </c>
      <c r="G16" s="79">
        <f>2600000*5%</f>
        <v>130000</v>
      </c>
      <c r="H16" s="142" t="s">
        <v>45</v>
      </c>
      <c r="I16" s="11"/>
      <c r="J16" s="11"/>
    </row>
    <row r="17" spans="1:13" s="12" customFormat="1" x14ac:dyDescent="0.25">
      <c r="A17" s="85" t="s">
        <v>73</v>
      </c>
      <c r="B17" s="143">
        <v>0</v>
      </c>
      <c r="C17" s="144">
        <v>85000</v>
      </c>
      <c r="D17" s="105">
        <v>85000</v>
      </c>
      <c r="E17" s="179"/>
      <c r="F17" s="145">
        <v>85000</v>
      </c>
      <c r="G17" s="174"/>
      <c r="H17" s="100" t="s">
        <v>26</v>
      </c>
      <c r="I17" s="14"/>
      <c r="J17" s="11"/>
    </row>
    <row r="18" spans="1:13" s="12" customFormat="1" x14ac:dyDescent="0.25">
      <c r="A18" s="125" t="s">
        <v>72</v>
      </c>
      <c r="B18" s="143">
        <v>0</v>
      </c>
      <c r="C18" s="144">
        <v>140000</v>
      </c>
      <c r="D18" s="105">
        <v>140000</v>
      </c>
      <c r="E18" s="179"/>
      <c r="F18" s="145">
        <v>140000</v>
      </c>
      <c r="G18" s="174"/>
      <c r="H18" s="100" t="s">
        <v>26</v>
      </c>
      <c r="I18" s="11"/>
      <c r="J18" s="11"/>
    </row>
    <row r="19" spans="1:13" s="12" customFormat="1" x14ac:dyDescent="0.25">
      <c r="A19" s="125" t="s">
        <v>23</v>
      </c>
      <c r="B19" s="86">
        <v>0</v>
      </c>
      <c r="C19" s="87">
        <v>112677</v>
      </c>
      <c r="D19" s="103">
        <v>17000</v>
      </c>
      <c r="E19" s="118"/>
      <c r="F19" s="88">
        <v>112677</v>
      </c>
      <c r="G19" s="175"/>
      <c r="H19" s="100" t="s">
        <v>75</v>
      </c>
      <c r="I19" s="11"/>
      <c r="J19" s="66"/>
    </row>
    <row r="20" spans="1:13" s="12" customFormat="1" ht="30" x14ac:dyDescent="0.25">
      <c r="A20" s="97" t="s">
        <v>48</v>
      </c>
      <c r="B20" s="98">
        <v>0</v>
      </c>
      <c r="C20" s="86">
        <v>15473</v>
      </c>
      <c r="D20" s="104">
        <v>0</v>
      </c>
      <c r="E20" s="180"/>
      <c r="F20" s="99">
        <v>15473</v>
      </c>
      <c r="G20" s="176"/>
      <c r="H20" s="127"/>
      <c r="I20" s="11"/>
      <c r="J20" s="66"/>
    </row>
    <row r="21" spans="1:13" s="12" customFormat="1" ht="15.75" thickBot="1" x14ac:dyDescent="0.3">
      <c r="A21" s="97" t="s">
        <v>51</v>
      </c>
      <c r="B21" s="98">
        <v>0</v>
      </c>
      <c r="C21" s="86">
        <v>57490</v>
      </c>
      <c r="D21" s="104">
        <v>0</v>
      </c>
      <c r="E21" s="180"/>
      <c r="F21" s="99">
        <v>57490</v>
      </c>
      <c r="G21" s="176"/>
      <c r="H21" s="127"/>
      <c r="I21" s="11"/>
      <c r="J21" s="11"/>
    </row>
    <row r="22" spans="1:13" ht="15.75" thickBot="1" x14ac:dyDescent="0.3">
      <c r="A22" s="146" t="s">
        <v>5</v>
      </c>
      <c r="B22" s="147">
        <f t="shared" ref="B22:G22" si="0">SUM(B6:B21)</f>
        <v>3124210</v>
      </c>
      <c r="C22" s="148">
        <f t="shared" si="0"/>
        <v>8225909</v>
      </c>
      <c r="D22" s="106">
        <f t="shared" si="0"/>
        <v>5231713</v>
      </c>
      <c r="E22" s="108">
        <f t="shared" si="0"/>
        <v>-1416440.9980000001</v>
      </c>
      <c r="F22" s="149">
        <f t="shared" si="0"/>
        <v>6809468.0020000003</v>
      </c>
      <c r="G22" s="53">
        <f t="shared" si="0"/>
        <v>7526234.8449999997</v>
      </c>
      <c r="H22" s="150"/>
      <c r="I22" s="10"/>
      <c r="J22" s="11"/>
      <c r="K22" s="7"/>
      <c r="L22" s="7"/>
      <c r="M22" s="7"/>
    </row>
    <row r="23" spans="1:13" ht="15.75" thickBot="1" x14ac:dyDescent="0.3">
      <c r="A23" s="151"/>
      <c r="B23" s="152"/>
      <c r="C23" s="15"/>
      <c r="D23" s="15"/>
      <c r="E23" s="15"/>
      <c r="F23" s="15"/>
      <c r="G23" s="15"/>
      <c r="H23" s="153"/>
      <c r="J23" s="7"/>
      <c r="K23" s="7"/>
      <c r="L23" s="7"/>
      <c r="M23" s="7"/>
    </row>
    <row r="24" spans="1:13" ht="15.75" thickBot="1" x14ac:dyDescent="0.3">
      <c r="A24" s="146" t="s">
        <v>6</v>
      </c>
      <c r="B24" s="154" t="s">
        <v>1</v>
      </c>
      <c r="C24" s="154" t="s">
        <v>1</v>
      </c>
      <c r="D24" s="109" t="s">
        <v>1</v>
      </c>
      <c r="E24" s="116" t="s">
        <v>1</v>
      </c>
      <c r="F24" s="155" t="s">
        <v>1</v>
      </c>
      <c r="G24" s="51" t="s">
        <v>1</v>
      </c>
      <c r="H24" s="156" t="s">
        <v>2</v>
      </c>
      <c r="J24" s="7"/>
      <c r="K24" s="7"/>
      <c r="L24" s="7"/>
      <c r="M24" s="7"/>
    </row>
    <row r="25" spans="1:13" x14ac:dyDescent="0.25">
      <c r="A25" s="91" t="s">
        <v>7</v>
      </c>
      <c r="B25" s="90">
        <v>4000</v>
      </c>
      <c r="C25" s="90">
        <v>8000</v>
      </c>
      <c r="D25" s="110">
        <v>8290</v>
      </c>
      <c r="E25" s="132">
        <f>F25-C25</f>
        <v>1000</v>
      </c>
      <c r="F25" s="157">
        <v>9000</v>
      </c>
      <c r="G25" s="75">
        <v>9000</v>
      </c>
      <c r="H25" s="158"/>
      <c r="J25" s="63"/>
      <c r="K25" s="64"/>
      <c r="L25" s="64"/>
      <c r="M25" s="64"/>
    </row>
    <row r="26" spans="1:13" ht="14.45" customHeight="1" x14ac:dyDescent="0.25">
      <c r="A26" s="159" t="s">
        <v>47</v>
      </c>
      <c r="B26" s="160">
        <v>0</v>
      </c>
      <c r="C26" s="144">
        <v>138000</v>
      </c>
      <c r="D26" s="105">
        <v>138000</v>
      </c>
      <c r="E26" s="179"/>
      <c r="F26" s="145">
        <v>138000</v>
      </c>
      <c r="G26" s="174"/>
      <c r="H26" s="161"/>
      <c r="J26" s="58"/>
      <c r="K26" s="65"/>
      <c r="L26" s="7"/>
      <c r="M26" s="59"/>
    </row>
    <row r="27" spans="1:13" s="12" customFormat="1" ht="30" x14ac:dyDescent="0.25">
      <c r="A27" s="97" t="s">
        <v>48</v>
      </c>
      <c r="B27" s="98">
        <v>0</v>
      </c>
      <c r="C27" s="86">
        <v>111150</v>
      </c>
      <c r="D27" s="104">
        <v>0</v>
      </c>
      <c r="E27" s="180"/>
      <c r="F27" s="99">
        <f>95677+F20</f>
        <v>111150</v>
      </c>
      <c r="G27" s="84"/>
      <c r="H27" s="100" t="s">
        <v>74</v>
      </c>
      <c r="I27" s="11"/>
      <c r="J27" s="11"/>
    </row>
    <row r="28" spans="1:13" ht="14.45" customHeight="1" x14ac:dyDescent="0.25">
      <c r="A28" s="125" t="s">
        <v>50</v>
      </c>
      <c r="B28" s="89">
        <v>0</v>
      </c>
      <c r="C28" s="87">
        <v>57490</v>
      </c>
      <c r="D28" s="103">
        <v>57499</v>
      </c>
      <c r="E28" s="178"/>
      <c r="F28" s="88">
        <v>57490</v>
      </c>
      <c r="G28" s="79"/>
      <c r="H28" s="100"/>
      <c r="J28" s="58"/>
      <c r="K28" s="65"/>
      <c r="L28" s="7"/>
      <c r="M28" s="59"/>
    </row>
    <row r="29" spans="1:13" x14ac:dyDescent="0.25">
      <c r="A29" s="85" t="s">
        <v>33</v>
      </c>
      <c r="B29" s="89">
        <v>24000</v>
      </c>
      <c r="C29" s="89">
        <v>24000</v>
      </c>
      <c r="D29" s="111">
        <v>20000</v>
      </c>
      <c r="E29" s="181"/>
      <c r="F29" s="162">
        <v>24000</v>
      </c>
      <c r="G29" s="74">
        <v>24000</v>
      </c>
      <c r="H29" s="100"/>
      <c r="J29" s="66"/>
      <c r="K29" s="67"/>
      <c r="L29" s="11"/>
      <c r="M29" s="7"/>
    </row>
    <row r="30" spans="1:13" x14ac:dyDescent="0.25">
      <c r="A30" s="85" t="s">
        <v>8</v>
      </c>
      <c r="B30" s="89">
        <v>45000</v>
      </c>
      <c r="C30" s="89">
        <v>45000</v>
      </c>
      <c r="D30" s="111">
        <v>24086</v>
      </c>
      <c r="E30" s="181"/>
      <c r="F30" s="162">
        <v>45000</v>
      </c>
      <c r="G30" s="74">
        <v>45000</v>
      </c>
      <c r="H30" s="163" t="s">
        <v>25</v>
      </c>
      <c r="J30" s="15"/>
      <c r="K30" s="68"/>
      <c r="L30" s="69"/>
      <c r="M30" s="57"/>
    </row>
    <row r="31" spans="1:13" x14ac:dyDescent="0.25">
      <c r="A31" s="85" t="s">
        <v>34</v>
      </c>
      <c r="B31" s="89">
        <v>48000</v>
      </c>
      <c r="C31" s="89">
        <v>48000</v>
      </c>
      <c r="D31" s="111">
        <v>40000</v>
      </c>
      <c r="E31" s="181"/>
      <c r="F31" s="162">
        <v>48000</v>
      </c>
      <c r="G31" s="74">
        <v>48000</v>
      </c>
      <c r="H31" s="100"/>
      <c r="J31" s="15"/>
      <c r="K31" s="69"/>
      <c r="L31" s="69"/>
      <c r="M31" s="57"/>
    </row>
    <row r="32" spans="1:13" x14ac:dyDescent="0.25">
      <c r="A32" s="164" t="s">
        <v>9</v>
      </c>
      <c r="B32" s="89">
        <v>2500</v>
      </c>
      <c r="C32" s="89">
        <v>2500</v>
      </c>
      <c r="D32" s="111">
        <v>2444</v>
      </c>
      <c r="E32" s="181"/>
      <c r="F32" s="162">
        <v>2500</v>
      </c>
      <c r="G32" s="74">
        <f>485*12</f>
        <v>5820</v>
      </c>
      <c r="H32" s="100" t="s">
        <v>52</v>
      </c>
      <c r="J32" s="70"/>
      <c r="K32" s="64"/>
      <c r="L32" s="64"/>
      <c r="M32" s="7"/>
    </row>
    <row r="33" spans="1:14" x14ac:dyDescent="0.25">
      <c r="A33" s="85" t="s">
        <v>10</v>
      </c>
      <c r="B33" s="89">
        <v>6000</v>
      </c>
      <c r="C33" s="89">
        <v>6000</v>
      </c>
      <c r="D33" s="111">
        <v>0</v>
      </c>
      <c r="E33" s="181"/>
      <c r="F33" s="162">
        <v>6000</v>
      </c>
      <c r="G33" s="74">
        <v>6000</v>
      </c>
      <c r="H33" s="100" t="s">
        <v>17</v>
      </c>
      <c r="J33" s="7"/>
      <c r="K33" s="7"/>
      <c r="L33" s="7"/>
      <c r="M33" s="7"/>
    </row>
    <row r="34" spans="1:14" x14ac:dyDescent="0.25">
      <c r="A34" s="85" t="s">
        <v>11</v>
      </c>
      <c r="B34" s="89">
        <v>6000</v>
      </c>
      <c r="C34" s="89">
        <v>24000</v>
      </c>
      <c r="D34" s="111">
        <v>18099</v>
      </c>
      <c r="E34" s="181"/>
      <c r="F34" s="162">
        <v>24000</v>
      </c>
      <c r="G34" s="74">
        <f>(500*12)+(3000*12)</f>
        <v>42000</v>
      </c>
      <c r="H34" s="100" t="s">
        <v>64</v>
      </c>
      <c r="J34" s="58"/>
      <c r="K34" s="59"/>
      <c r="L34" s="59"/>
      <c r="M34" s="7"/>
    </row>
    <row r="35" spans="1:14" x14ac:dyDescent="0.25">
      <c r="A35" s="85" t="s">
        <v>24</v>
      </c>
      <c r="B35" s="89">
        <v>6000</v>
      </c>
      <c r="C35" s="89">
        <v>6000</v>
      </c>
      <c r="D35" s="111">
        <v>0</v>
      </c>
      <c r="E35" s="181"/>
      <c r="F35" s="162">
        <v>6000</v>
      </c>
      <c r="G35" s="74">
        <v>6000</v>
      </c>
      <c r="H35" s="100" t="s">
        <v>17</v>
      </c>
      <c r="J35" s="58"/>
      <c r="K35" s="59"/>
      <c r="L35" s="71"/>
      <c r="M35" s="59"/>
      <c r="N35" s="31"/>
    </row>
    <row r="36" spans="1:14" x14ac:dyDescent="0.25">
      <c r="A36" s="85" t="s">
        <v>19</v>
      </c>
      <c r="B36" s="89">
        <v>6000</v>
      </c>
      <c r="C36" s="89">
        <v>6000</v>
      </c>
      <c r="D36" s="111">
        <v>0</v>
      </c>
      <c r="E36" s="181"/>
      <c r="F36" s="162">
        <v>6000</v>
      </c>
      <c r="G36" s="74">
        <v>6000</v>
      </c>
      <c r="H36" s="100" t="s">
        <v>17</v>
      </c>
      <c r="J36" s="58"/>
      <c r="K36" s="59"/>
      <c r="L36" s="71"/>
      <c r="M36" s="59"/>
      <c r="N36" s="31"/>
    </row>
    <row r="37" spans="1:14" x14ac:dyDescent="0.25">
      <c r="A37" s="85" t="s">
        <v>12</v>
      </c>
      <c r="B37" s="89">
        <v>10000</v>
      </c>
      <c r="C37" s="89">
        <v>10000</v>
      </c>
      <c r="D37" s="112">
        <v>9268</v>
      </c>
      <c r="E37" s="134">
        <f>F37-C37</f>
        <v>1000</v>
      </c>
      <c r="F37" s="89">
        <v>11000</v>
      </c>
      <c r="G37" s="74">
        <v>11000</v>
      </c>
      <c r="H37" s="165"/>
      <c r="I37" s="7"/>
    </row>
    <row r="38" spans="1:14" s="7" customFormat="1" x14ac:dyDescent="0.25">
      <c r="A38" s="166" t="s">
        <v>54</v>
      </c>
      <c r="B38" s="167">
        <v>201621</v>
      </c>
      <c r="C38" s="168">
        <v>241621</v>
      </c>
      <c r="D38" s="130">
        <f>(17662*10)+(6100*2)+(3900*1)</f>
        <v>192720</v>
      </c>
      <c r="E38" s="133">
        <f>F38-C38</f>
        <v>6423</v>
      </c>
      <c r="F38" s="168">
        <f>(17662*12)+(6100*4)+(3900*3)</f>
        <v>248044</v>
      </c>
      <c r="G38" s="129">
        <f>(17662*12)+(42150*11)+(6100*12)+(3900*6)</f>
        <v>772194</v>
      </c>
      <c r="H38" s="140" t="s">
        <v>81</v>
      </c>
    </row>
    <row r="39" spans="1:14" x14ac:dyDescent="0.25">
      <c r="A39" s="95" t="s">
        <v>22</v>
      </c>
      <c r="B39" s="169">
        <v>30000</v>
      </c>
      <c r="C39" s="169">
        <v>30000</v>
      </c>
      <c r="D39" s="114">
        <v>4000</v>
      </c>
      <c r="E39" s="134">
        <f>F39-C39</f>
        <v>-20000</v>
      </c>
      <c r="F39" s="89">
        <v>10000</v>
      </c>
      <c r="G39" s="74">
        <v>30000</v>
      </c>
      <c r="H39" s="170" t="s">
        <v>35</v>
      </c>
      <c r="J39" s="16"/>
    </row>
    <row r="40" spans="1:14" s="7" customFormat="1" x14ac:dyDescent="0.25">
      <c r="A40" s="85" t="s">
        <v>76</v>
      </c>
      <c r="B40" s="89">
        <v>788460</v>
      </c>
      <c r="C40" s="89">
        <v>263028</v>
      </c>
      <c r="D40" s="111">
        <v>270887</v>
      </c>
      <c r="E40" s="132">
        <f>F40-C40</f>
        <v>7859</v>
      </c>
      <c r="F40" s="157">
        <v>270887</v>
      </c>
      <c r="G40" s="75"/>
      <c r="H40" s="126" t="s">
        <v>82</v>
      </c>
      <c r="J40" s="58"/>
      <c r="K40" s="59"/>
      <c r="L40" s="59"/>
    </row>
    <row r="41" spans="1:14" x14ac:dyDescent="0.25">
      <c r="A41" s="85" t="s">
        <v>78</v>
      </c>
      <c r="B41" s="89">
        <v>29040</v>
      </c>
      <c r="C41" s="89">
        <v>37374</v>
      </c>
      <c r="D41" s="111">
        <v>37373</v>
      </c>
      <c r="E41" s="181"/>
      <c r="F41" s="162">
        <v>37374</v>
      </c>
      <c r="G41" s="74"/>
      <c r="H41" s="100"/>
      <c r="I41" s="16"/>
    </row>
    <row r="42" spans="1:14" s="7" customFormat="1" x14ac:dyDescent="0.25">
      <c r="A42" s="85" t="s">
        <v>77</v>
      </c>
      <c r="B42" s="89"/>
      <c r="C42" s="89">
        <v>337200</v>
      </c>
      <c r="D42" s="111">
        <f>42150*6</f>
        <v>252900</v>
      </c>
      <c r="E42" s="182"/>
      <c r="F42" s="162">
        <f>42150*8</f>
        <v>337200</v>
      </c>
      <c r="G42" s="74">
        <f>42150</f>
        <v>42150</v>
      </c>
      <c r="H42" s="100" t="s">
        <v>80</v>
      </c>
      <c r="J42" s="58"/>
      <c r="K42" s="59"/>
      <c r="L42" s="59"/>
    </row>
    <row r="43" spans="1:14" x14ac:dyDescent="0.25">
      <c r="A43" s="85" t="s">
        <v>79</v>
      </c>
      <c r="B43" s="89"/>
      <c r="C43" s="89"/>
      <c r="D43" s="111"/>
      <c r="E43" s="181"/>
      <c r="F43" s="162"/>
      <c r="G43" s="74">
        <f>28150*1.21</f>
        <v>34061.5</v>
      </c>
      <c r="H43" s="100" t="s">
        <v>53</v>
      </c>
      <c r="I43" s="16"/>
      <c r="J43" s="16"/>
    </row>
    <row r="44" spans="1:14" x14ac:dyDescent="0.25">
      <c r="A44" s="85" t="s">
        <v>86</v>
      </c>
      <c r="B44" s="89">
        <v>1674732</v>
      </c>
      <c r="C44" s="89">
        <v>1674732</v>
      </c>
      <c r="D44" s="111">
        <v>897318</v>
      </c>
      <c r="E44" s="181"/>
      <c r="F44" s="162">
        <v>1674732</v>
      </c>
      <c r="G44" s="74">
        <v>1675000</v>
      </c>
      <c r="H44" s="100"/>
    </row>
    <row r="45" spans="1:14" x14ac:dyDescent="0.25">
      <c r="A45" s="85" t="s">
        <v>85</v>
      </c>
      <c r="B45" s="89">
        <v>330372</v>
      </c>
      <c r="C45" s="89">
        <v>330372</v>
      </c>
      <c r="D45" s="111">
        <v>721933</v>
      </c>
      <c r="E45" s="181"/>
      <c r="F45" s="162">
        <v>330372</v>
      </c>
      <c r="G45" s="74">
        <v>318000</v>
      </c>
      <c r="H45" s="100"/>
    </row>
    <row r="46" spans="1:14" x14ac:dyDescent="0.25">
      <c r="A46" s="85" t="s">
        <v>84</v>
      </c>
      <c r="B46" s="89">
        <v>802042</v>
      </c>
      <c r="C46" s="89">
        <v>802042</v>
      </c>
      <c r="D46" s="112">
        <v>350731</v>
      </c>
      <c r="E46" s="134">
        <f>F46-C46</f>
        <v>-302042</v>
      </c>
      <c r="F46" s="89">
        <v>500000</v>
      </c>
      <c r="G46" s="74">
        <v>1100000</v>
      </c>
      <c r="H46" s="170" t="s">
        <v>18</v>
      </c>
      <c r="J46" s="16"/>
    </row>
    <row r="47" spans="1:14" x14ac:dyDescent="0.25">
      <c r="A47" s="85" t="s">
        <v>55</v>
      </c>
      <c r="B47" s="89"/>
      <c r="C47" s="89">
        <v>572850</v>
      </c>
      <c r="D47" s="112">
        <v>452827</v>
      </c>
      <c r="E47" s="134">
        <f>F47-C47</f>
        <v>18592</v>
      </c>
      <c r="F47" s="89">
        <f>2*(20100*9)+(23450*5)+(28098*4)</f>
        <v>591442</v>
      </c>
      <c r="G47" s="74"/>
      <c r="H47" s="171" t="s">
        <v>89</v>
      </c>
      <c r="I47" s="34"/>
      <c r="J47" s="32"/>
    </row>
    <row r="48" spans="1:14" x14ac:dyDescent="0.25">
      <c r="A48" s="85" t="s">
        <v>83</v>
      </c>
      <c r="B48" s="89"/>
      <c r="C48" s="89"/>
      <c r="D48" s="112"/>
      <c r="E48" s="134"/>
      <c r="F48" s="89"/>
      <c r="G48" s="74">
        <f>2*(20100*12)</f>
        <v>482400</v>
      </c>
      <c r="H48" s="171" t="s">
        <v>88</v>
      </c>
      <c r="I48" s="34"/>
      <c r="J48" s="32"/>
    </row>
    <row r="49" spans="1:11" x14ac:dyDescent="0.25">
      <c r="A49" s="85" t="s">
        <v>87</v>
      </c>
      <c r="B49" s="89"/>
      <c r="C49" s="89">
        <v>98750</v>
      </c>
      <c r="D49" s="113">
        <v>94613</v>
      </c>
      <c r="E49" s="135"/>
      <c r="F49" s="90">
        <v>98750</v>
      </c>
      <c r="G49" s="75">
        <f>(12*4167)+(150*110)+(23450*12)</f>
        <v>347904</v>
      </c>
      <c r="H49" s="171" t="s">
        <v>90</v>
      </c>
      <c r="J49" s="16"/>
    </row>
    <row r="50" spans="1:11" x14ac:dyDescent="0.25">
      <c r="A50" s="85" t="s">
        <v>56</v>
      </c>
      <c r="B50" s="89"/>
      <c r="C50" s="89">
        <v>420860</v>
      </c>
      <c r="D50" s="113">
        <v>101149</v>
      </c>
      <c r="E50" s="135">
        <f>F50-C50</f>
        <v>-300860</v>
      </c>
      <c r="F50" s="90">
        <v>120000</v>
      </c>
      <c r="G50" s="75">
        <f>65000+85000+(2*12000)+30000</f>
        <v>204000</v>
      </c>
      <c r="H50" s="171" t="s">
        <v>91</v>
      </c>
      <c r="K50" s="16"/>
    </row>
    <row r="51" spans="1:11" x14ac:dyDescent="0.25">
      <c r="A51" s="85" t="s">
        <v>57</v>
      </c>
      <c r="B51" s="89"/>
      <c r="C51" s="89">
        <v>2500000</v>
      </c>
      <c r="D51" s="113">
        <v>0</v>
      </c>
      <c r="E51" s="135">
        <f>F51-C51</f>
        <v>-2500000</v>
      </c>
      <c r="F51" s="90">
        <v>0</v>
      </c>
      <c r="G51" s="75">
        <v>3800000</v>
      </c>
      <c r="H51" s="171" t="s">
        <v>58</v>
      </c>
      <c r="J51" s="16"/>
      <c r="K51" s="16"/>
    </row>
    <row r="52" spans="1:11" ht="15.75" thickBot="1" x14ac:dyDescent="0.3">
      <c r="A52" s="172" t="s">
        <v>59</v>
      </c>
      <c r="B52" s="89">
        <v>0</v>
      </c>
      <c r="C52" s="89">
        <v>60000</v>
      </c>
      <c r="D52" s="113">
        <v>0</v>
      </c>
      <c r="E52" s="183"/>
      <c r="F52" s="90">
        <v>60000</v>
      </c>
      <c r="G52" s="75">
        <v>60000</v>
      </c>
      <c r="H52" s="173" t="s">
        <v>60</v>
      </c>
    </row>
    <row r="53" spans="1:11" ht="15.75" thickBot="1" x14ac:dyDescent="0.3">
      <c r="A53" s="54" t="s">
        <v>13</v>
      </c>
      <c r="B53" s="82">
        <f t="shared" ref="B53:G53" si="1">SUM(B25:B52)</f>
        <v>4013767</v>
      </c>
      <c r="C53" s="83">
        <f t="shared" si="1"/>
        <v>7854969</v>
      </c>
      <c r="D53" s="115">
        <f t="shared" si="1"/>
        <v>3694137</v>
      </c>
      <c r="E53" s="117">
        <f t="shared" si="1"/>
        <v>-3088028</v>
      </c>
      <c r="F53" s="62">
        <f t="shared" si="1"/>
        <v>4766941</v>
      </c>
      <c r="G53" s="55">
        <f t="shared" si="1"/>
        <v>9068529.5</v>
      </c>
      <c r="H53" s="56"/>
    </row>
    <row r="54" spans="1:11" ht="15.75" thickBot="1" x14ac:dyDescent="0.3">
      <c r="A54" s="4"/>
      <c r="B54" s="6"/>
      <c r="C54" s="6"/>
      <c r="D54" s="6"/>
      <c r="E54" s="6"/>
      <c r="F54" s="6"/>
      <c r="G54" s="6"/>
      <c r="H54" s="5"/>
    </row>
    <row r="55" spans="1:11" ht="16.149999999999999" customHeight="1" thickBot="1" x14ac:dyDescent="0.3">
      <c r="A55" s="8" t="s">
        <v>14</v>
      </c>
      <c r="B55" s="30">
        <f t="shared" ref="B55:G55" si="2">B22-B53</f>
        <v>-889557</v>
      </c>
      <c r="C55" s="93">
        <f t="shared" si="2"/>
        <v>370940</v>
      </c>
      <c r="D55" s="92">
        <f t="shared" si="2"/>
        <v>1537576</v>
      </c>
      <c r="E55" s="119">
        <f t="shared" si="2"/>
        <v>1671587.0019999999</v>
      </c>
      <c r="F55" s="92">
        <f t="shared" si="2"/>
        <v>2042527.0020000003</v>
      </c>
      <c r="G55" s="30">
        <f t="shared" si="2"/>
        <v>-1542294.6550000003</v>
      </c>
      <c r="H55" s="35"/>
    </row>
    <row r="56" spans="1:11" ht="15.75" thickBot="1" x14ac:dyDescent="0.3">
      <c r="A56" s="1"/>
      <c r="H56" s="7"/>
      <c r="I56" s="7"/>
    </row>
    <row r="57" spans="1:11" ht="24.6" customHeight="1" thickBot="1" x14ac:dyDescent="0.3">
      <c r="A57" s="78" t="s">
        <v>27</v>
      </c>
      <c r="B57" s="41" t="s">
        <v>63</v>
      </c>
      <c r="C57" s="72" t="s">
        <v>49</v>
      </c>
      <c r="D57" s="121" t="s">
        <v>65</v>
      </c>
      <c r="E57" s="120" t="s">
        <v>67</v>
      </c>
      <c r="F57" s="73" t="s">
        <v>40</v>
      </c>
      <c r="G57" s="52" t="s">
        <v>41</v>
      </c>
      <c r="H57" s="124" t="s">
        <v>28</v>
      </c>
      <c r="I57" s="7"/>
    </row>
    <row r="58" spans="1:11" x14ac:dyDescent="0.25">
      <c r="A58" s="39" t="s">
        <v>15</v>
      </c>
      <c r="B58" s="42">
        <f t="shared" ref="B58:G58" si="3">B22</f>
        <v>3124210</v>
      </c>
      <c r="C58" s="17">
        <f t="shared" si="3"/>
        <v>8225909</v>
      </c>
      <c r="D58" s="17">
        <f t="shared" si="3"/>
        <v>5231713</v>
      </c>
      <c r="E58" s="131">
        <f t="shared" si="3"/>
        <v>-1416440.9980000001</v>
      </c>
      <c r="F58" s="17">
        <f t="shared" si="3"/>
        <v>6809468.0020000003</v>
      </c>
      <c r="G58" s="17">
        <f t="shared" si="3"/>
        <v>7526234.8449999997</v>
      </c>
      <c r="H58" s="124" t="s">
        <v>38</v>
      </c>
      <c r="I58" s="7"/>
    </row>
    <row r="59" spans="1:11" ht="15.75" thickBot="1" x14ac:dyDescent="0.3">
      <c r="A59" s="40" t="s">
        <v>13</v>
      </c>
      <c r="B59" s="43">
        <f t="shared" ref="B59:G59" si="4">B53</f>
        <v>4013767</v>
      </c>
      <c r="C59" s="19">
        <f t="shared" si="4"/>
        <v>7854969</v>
      </c>
      <c r="D59" s="19">
        <f t="shared" si="4"/>
        <v>3694137</v>
      </c>
      <c r="E59" s="19">
        <f t="shared" si="4"/>
        <v>-3088028</v>
      </c>
      <c r="F59" s="19">
        <f t="shared" si="4"/>
        <v>4766941</v>
      </c>
      <c r="G59" s="19">
        <f t="shared" si="4"/>
        <v>9068529.5</v>
      </c>
      <c r="H59" s="7"/>
      <c r="I59" s="7"/>
    </row>
    <row r="60" spans="1:11" ht="15.75" thickBot="1" x14ac:dyDescent="0.3">
      <c r="A60" s="23"/>
      <c r="B60" s="21"/>
      <c r="C60" s="22"/>
      <c r="D60" s="122"/>
      <c r="E60" s="123"/>
      <c r="F60" s="22"/>
      <c r="G60" s="27"/>
      <c r="H60" s="7"/>
      <c r="I60" s="7"/>
    </row>
    <row r="61" spans="1:11" ht="15.75" thickBot="1" x14ac:dyDescent="0.3">
      <c r="A61" s="44" t="s">
        <v>16</v>
      </c>
      <c r="B61" s="45">
        <f t="shared" ref="B61" si="5">B58-B59</f>
        <v>-889557</v>
      </c>
      <c r="C61" s="29">
        <f>C58-C59</f>
        <v>370940</v>
      </c>
      <c r="D61" s="29">
        <f>D58-D59</f>
        <v>1537576</v>
      </c>
      <c r="E61" s="29">
        <f>E58-E59</f>
        <v>1671587.0019999999</v>
      </c>
      <c r="F61" s="29">
        <f>F58-F59</f>
        <v>2042527.0020000003</v>
      </c>
      <c r="G61" s="96">
        <f>G58-G59</f>
        <v>-1542294.6550000003</v>
      </c>
      <c r="H61" s="36" t="s">
        <v>66</v>
      </c>
      <c r="J61" s="57"/>
    </row>
    <row r="62" spans="1:11" ht="15.75" thickBot="1" x14ac:dyDescent="0.3">
      <c r="A62" s="24" t="s">
        <v>21</v>
      </c>
      <c r="B62" s="21"/>
      <c r="C62" s="22"/>
      <c r="D62" s="122"/>
      <c r="E62" s="123"/>
      <c r="F62" s="22"/>
      <c r="G62" s="27"/>
      <c r="H62" s="37">
        <v>37455.31</v>
      </c>
      <c r="J62" s="137"/>
    </row>
    <row r="63" spans="1:11" x14ac:dyDescent="0.25">
      <c r="A63" s="76" t="s">
        <v>61</v>
      </c>
      <c r="B63" s="46">
        <v>3311225</v>
      </c>
      <c r="C63" s="20">
        <f>B63</f>
        <v>3311225</v>
      </c>
      <c r="D63" s="20">
        <f>B63</f>
        <v>3311225</v>
      </c>
      <c r="E63" s="20">
        <f>C63</f>
        <v>3311225</v>
      </c>
      <c r="F63" s="20">
        <f>B63</f>
        <v>3311225</v>
      </c>
      <c r="G63" s="20">
        <f>F64</f>
        <v>5353752.0020000003</v>
      </c>
      <c r="H63" s="37">
        <v>3976592.1</v>
      </c>
      <c r="J63" s="137"/>
    </row>
    <row r="64" spans="1:11" ht="15.75" thickBot="1" x14ac:dyDescent="0.3">
      <c r="A64" s="77" t="s">
        <v>62</v>
      </c>
      <c r="B64" s="47">
        <v>2421668</v>
      </c>
      <c r="C64" s="18">
        <f>C63+C61</f>
        <v>3682165</v>
      </c>
      <c r="D64" s="18">
        <f>D63+D61</f>
        <v>4848801</v>
      </c>
      <c r="E64" s="18">
        <f>E63+E61</f>
        <v>4982812.0020000003</v>
      </c>
      <c r="F64" s="18">
        <f>F63+F61</f>
        <v>5353752.0020000003</v>
      </c>
      <c r="G64" s="18">
        <f>G63+G61</f>
        <v>3811457.3470000001</v>
      </c>
      <c r="H64" s="37">
        <v>1687206.32</v>
      </c>
      <c r="J64" s="137"/>
    </row>
    <row r="65" spans="1:10" x14ac:dyDescent="0.25">
      <c r="H65" s="38">
        <f>SUM(H62:H64)</f>
        <v>5701253.7300000004</v>
      </c>
      <c r="J65" s="137"/>
    </row>
    <row r="66" spans="1:10" ht="15.75" x14ac:dyDescent="0.25">
      <c r="A66" s="26" t="s">
        <v>93</v>
      </c>
      <c r="B66" s="25"/>
    </row>
    <row r="68" spans="1:10" ht="15.75" x14ac:dyDescent="0.25">
      <c r="A68" s="26" t="s">
        <v>94</v>
      </c>
    </row>
  </sheetData>
  <mergeCells count="1">
    <mergeCell ref="A1:B1"/>
  </mergeCells>
  <pageMargins left="0.7" right="0.7" top="0.75" bottom="0.75" header="0.3" footer="0.3"/>
  <pageSetup paperSize="8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 č.4 + rozpočtu_2021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2020-12-17T06:03:11Z</dcterms:modified>
</cp:coreProperties>
</file>